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000018498\Documents\Academic Affairs Info\AA 16-17 Budget\"/>
    </mc:Choice>
  </mc:AlternateContent>
  <bookViews>
    <workbookView xWindow="30" yWindow="120" windowWidth="14595" windowHeight="14655"/>
  </bookViews>
  <sheets>
    <sheet name="Sheet1" sheetId="1" r:id="rId1"/>
    <sheet name="Sheet2" sheetId="2" r:id="rId2"/>
    <sheet name="Sheet3" sheetId="3" r:id="rId3"/>
  </sheets>
  <definedNames>
    <definedName name="_xlnm.Print_Area" localSheetId="0">Sheet1!$A$1:$Q$88</definedName>
    <definedName name="_xlnm.Print_Titles" localSheetId="0">Sheet1!$1:$4</definedName>
  </definedNames>
  <calcPr calcId="162913"/>
</workbook>
</file>

<file path=xl/calcChain.xml><?xml version="1.0" encoding="utf-8"?>
<calcChain xmlns="http://schemas.openxmlformats.org/spreadsheetml/2006/main">
  <c r="O44" i="1" l="1"/>
  <c r="N44" i="1"/>
  <c r="M44" i="1"/>
  <c r="L44" i="1"/>
  <c r="I44" i="1"/>
  <c r="G44" i="1"/>
  <c r="F44" i="1"/>
  <c r="E44" i="1"/>
  <c r="D44" i="1"/>
  <c r="C44" i="1"/>
  <c r="B44" i="1"/>
  <c r="Q43" i="1"/>
  <c r="N43" i="1"/>
  <c r="J43" i="1"/>
  <c r="J44" i="1" s="1"/>
  <c r="H43" i="1"/>
  <c r="K43" i="1" s="1"/>
  <c r="Q42" i="1"/>
  <c r="N42" i="1"/>
  <c r="H42" i="1"/>
  <c r="K42" i="1" s="1"/>
  <c r="Q41" i="1"/>
  <c r="N41" i="1"/>
  <c r="K41" i="1"/>
  <c r="H41" i="1"/>
  <c r="Q40" i="1"/>
  <c r="N40" i="1"/>
  <c r="H40" i="1"/>
  <c r="K40" i="1" s="1"/>
  <c r="Q39" i="1"/>
  <c r="N39" i="1"/>
  <c r="K39" i="1"/>
  <c r="H39" i="1"/>
  <c r="Q38" i="1"/>
  <c r="N38" i="1"/>
  <c r="H38" i="1"/>
  <c r="K38" i="1" s="1"/>
  <c r="Q37" i="1"/>
  <c r="N37" i="1"/>
  <c r="K37" i="1"/>
  <c r="H37" i="1"/>
  <c r="Q36" i="1"/>
  <c r="P36" i="1"/>
  <c r="P44" i="1" s="1"/>
  <c r="Q44" i="1" s="1"/>
  <c r="N36" i="1"/>
  <c r="K36" i="1"/>
  <c r="H36" i="1"/>
  <c r="Q35" i="1"/>
  <c r="N35" i="1"/>
  <c r="K35" i="1"/>
  <c r="H35" i="1"/>
  <c r="Q34" i="1"/>
  <c r="N34" i="1"/>
  <c r="K34" i="1"/>
  <c r="H34" i="1"/>
  <c r="Q33" i="1"/>
  <c r="N33" i="1"/>
  <c r="K33" i="1"/>
  <c r="H33" i="1"/>
  <c r="H44" i="1" s="1"/>
  <c r="K44" i="1" l="1"/>
  <c r="P58" i="1"/>
  <c r="O58" i="1"/>
  <c r="M58" i="1"/>
  <c r="J58" i="1"/>
  <c r="I58" i="1"/>
  <c r="H58" i="1"/>
  <c r="K58" i="1" s="1"/>
  <c r="G58" i="1"/>
  <c r="F58" i="1"/>
  <c r="E58" i="1"/>
  <c r="D58" i="1"/>
  <c r="C58" i="1"/>
  <c r="B58" i="1"/>
  <c r="Q57" i="1"/>
  <c r="N57" i="1"/>
  <c r="L57" i="1"/>
  <c r="H57" i="1"/>
  <c r="K57" i="1" s="1"/>
  <c r="Q56" i="1"/>
  <c r="N56" i="1"/>
  <c r="H56" i="1"/>
  <c r="K56" i="1" s="1"/>
  <c r="Q55" i="1"/>
  <c r="N55" i="1"/>
  <c r="H55" i="1"/>
  <c r="K55" i="1" s="1"/>
  <c r="Q54" i="1"/>
  <c r="N54" i="1"/>
  <c r="H54" i="1"/>
  <c r="K54" i="1" s="1"/>
  <c r="Q53" i="1"/>
  <c r="N53" i="1"/>
  <c r="H53" i="1"/>
  <c r="K53" i="1" s="1"/>
  <c r="Q52" i="1"/>
  <c r="N52" i="1"/>
  <c r="H52" i="1"/>
  <c r="K52" i="1" s="1"/>
  <c r="Q51" i="1"/>
  <c r="Q58" i="1" s="1"/>
  <c r="N51" i="1"/>
  <c r="Q50" i="1"/>
  <c r="N50" i="1"/>
  <c r="H50" i="1"/>
  <c r="K50" i="1" s="1"/>
  <c r="Q49" i="1"/>
  <c r="N49" i="1"/>
  <c r="K49" i="1"/>
  <c r="H49" i="1"/>
  <c r="Q48" i="1"/>
  <c r="N48" i="1"/>
  <c r="H48" i="1"/>
  <c r="K48" i="1" s="1"/>
  <c r="Q47" i="1"/>
  <c r="N47" i="1"/>
  <c r="K47" i="1"/>
  <c r="H47" i="1"/>
  <c r="Q46" i="1"/>
  <c r="L46" i="1"/>
  <c r="N46" i="1" s="1"/>
  <c r="N58" i="1" s="1"/>
  <c r="H46" i="1"/>
  <c r="K46" i="1" s="1"/>
  <c r="L58" i="1" l="1"/>
  <c r="P23" i="1" l="1"/>
  <c r="O23" i="1"/>
  <c r="Q23" i="1" s="1"/>
  <c r="M23" i="1"/>
  <c r="L23" i="1"/>
  <c r="N23" i="1" s="1"/>
  <c r="J23" i="1"/>
  <c r="I23" i="1"/>
  <c r="G23" i="1"/>
  <c r="F23" i="1"/>
  <c r="E23" i="1"/>
  <c r="D23" i="1"/>
  <c r="C23" i="1"/>
  <c r="B23" i="1"/>
  <c r="Q22" i="1"/>
  <c r="N22" i="1"/>
  <c r="H22" i="1"/>
  <c r="K22" i="1" s="1"/>
  <c r="Q21" i="1"/>
  <c r="N21" i="1"/>
  <c r="H21" i="1"/>
  <c r="K21" i="1" s="1"/>
  <c r="Q20" i="1"/>
  <c r="N20" i="1"/>
  <c r="H20" i="1"/>
  <c r="K20" i="1" s="1"/>
  <c r="Q19" i="1"/>
  <c r="N19" i="1"/>
  <c r="H19" i="1"/>
  <c r="K19" i="1" s="1"/>
  <c r="Q18" i="1"/>
  <c r="N18" i="1"/>
  <c r="H18" i="1"/>
  <c r="K18" i="1" s="1"/>
  <c r="Q17" i="1"/>
  <c r="N17" i="1"/>
  <c r="H17" i="1"/>
  <c r="H23" i="1" s="1"/>
  <c r="K23" i="1" s="1"/>
  <c r="K17" i="1" l="1"/>
  <c r="O60" i="1" l="1"/>
  <c r="Q60" i="1"/>
  <c r="Q61" i="1"/>
  <c r="Q62" i="1"/>
  <c r="Q63" i="1"/>
  <c r="O64" i="1"/>
  <c r="Q64" i="1"/>
  <c r="Q65" i="1"/>
  <c r="O66" i="1"/>
  <c r="Q66" i="1"/>
  <c r="O67" i="1"/>
  <c r="Q67" i="1"/>
  <c r="O68" i="1"/>
  <c r="Q68" i="1"/>
  <c r="O69" i="1"/>
  <c r="Q69" i="1"/>
  <c r="Q70" i="1"/>
  <c r="Q71" i="1"/>
  <c r="Q72" i="1"/>
  <c r="O73" i="1"/>
  <c r="Q73" i="1"/>
  <c r="Q74" i="1"/>
  <c r="P74" i="1"/>
  <c r="O74" i="1"/>
  <c r="N60" i="1"/>
  <c r="N61" i="1"/>
  <c r="N62" i="1"/>
  <c r="N63" i="1"/>
  <c r="N64" i="1"/>
  <c r="N65" i="1"/>
  <c r="M66" i="1"/>
  <c r="N66" i="1"/>
  <c r="N67" i="1"/>
  <c r="L68" i="1"/>
  <c r="N68" i="1"/>
  <c r="N69" i="1"/>
  <c r="N70" i="1"/>
  <c r="N71" i="1"/>
  <c r="N72" i="1"/>
  <c r="L73" i="1"/>
  <c r="N73" i="1"/>
  <c r="N74" i="1"/>
  <c r="M74" i="1"/>
  <c r="L74" i="1"/>
  <c r="H60" i="1"/>
  <c r="E61" i="1"/>
  <c r="H61" i="1"/>
  <c r="E62" i="1"/>
  <c r="H62" i="1"/>
  <c r="H63" i="1"/>
  <c r="E64" i="1"/>
  <c r="H64" i="1"/>
  <c r="H65" i="1"/>
  <c r="E66" i="1"/>
  <c r="H66" i="1"/>
  <c r="E67" i="1"/>
  <c r="H67" i="1"/>
  <c r="E68" i="1"/>
  <c r="H68" i="1"/>
  <c r="E69" i="1"/>
  <c r="H69" i="1"/>
  <c r="H70" i="1"/>
  <c r="H71" i="1"/>
  <c r="H72" i="1"/>
  <c r="H73" i="1"/>
  <c r="H74" i="1"/>
  <c r="I74" i="1"/>
  <c r="J74" i="1"/>
  <c r="K74" i="1"/>
  <c r="G74" i="1"/>
  <c r="F74" i="1"/>
  <c r="E74" i="1"/>
  <c r="C74" i="1"/>
  <c r="B65" i="1"/>
  <c r="B67" i="1"/>
  <c r="B74" i="1"/>
  <c r="K73" i="1"/>
  <c r="K72" i="1"/>
  <c r="K71" i="1"/>
  <c r="K70" i="1"/>
  <c r="K69" i="1"/>
  <c r="K68" i="1"/>
  <c r="K67" i="1"/>
  <c r="K66" i="1"/>
  <c r="K65" i="1"/>
  <c r="K64" i="1"/>
  <c r="K63" i="1"/>
  <c r="K62" i="1"/>
  <c r="K61" i="1"/>
  <c r="K60" i="1"/>
  <c r="O31" i="1"/>
  <c r="P31" i="1"/>
  <c r="Q31" i="1"/>
  <c r="L31" i="1"/>
  <c r="M29" i="1"/>
  <c r="M31" i="1"/>
  <c r="N31" i="1"/>
  <c r="H25" i="1"/>
  <c r="H26" i="1"/>
  <c r="H27" i="1"/>
  <c r="H28" i="1"/>
  <c r="H29" i="1"/>
  <c r="H30" i="1"/>
  <c r="H31" i="1"/>
  <c r="I31" i="1"/>
  <c r="J31" i="1"/>
  <c r="K31" i="1"/>
  <c r="G31" i="1"/>
  <c r="F31" i="1"/>
  <c r="E31" i="1"/>
  <c r="D31" i="1"/>
  <c r="C31" i="1"/>
  <c r="B31" i="1"/>
  <c r="Q30" i="1"/>
  <c r="N30" i="1"/>
  <c r="K30" i="1"/>
  <c r="Q29" i="1"/>
  <c r="N29" i="1"/>
  <c r="K29" i="1"/>
  <c r="Q28" i="1"/>
  <c r="N28" i="1"/>
  <c r="K28" i="1"/>
  <c r="Q27" i="1"/>
  <c r="N27" i="1"/>
  <c r="K27" i="1"/>
  <c r="Q26" i="1"/>
  <c r="N26" i="1"/>
  <c r="K26" i="1"/>
  <c r="Q25" i="1"/>
  <c r="N25" i="1"/>
  <c r="Q6" i="1"/>
  <c r="P15" i="1"/>
  <c r="P75" i="1" s="1"/>
  <c r="O15" i="1"/>
  <c r="L15" i="1"/>
  <c r="L75" i="1" s="1"/>
  <c r="Q14" i="1"/>
  <c r="Q13" i="1"/>
  <c r="Q12" i="1"/>
  <c r="Q11" i="1"/>
  <c r="Q10" i="1"/>
  <c r="Q9" i="1"/>
  <c r="Q8" i="1"/>
  <c r="Q7" i="1"/>
  <c r="N7" i="1"/>
  <c r="N8" i="1"/>
  <c r="N9" i="1"/>
  <c r="N10" i="1"/>
  <c r="N11" i="1"/>
  <c r="N12" i="1"/>
  <c r="N13" i="1"/>
  <c r="N14" i="1"/>
  <c r="H6" i="1"/>
  <c r="H7" i="1"/>
  <c r="K7" i="1"/>
  <c r="H8" i="1"/>
  <c r="K8" i="1" s="1"/>
  <c r="H9" i="1"/>
  <c r="K9" i="1" s="1"/>
  <c r="H10" i="1"/>
  <c r="K10" i="1" s="1"/>
  <c r="H11" i="1"/>
  <c r="K11" i="1"/>
  <c r="H12" i="1"/>
  <c r="K12" i="1"/>
  <c r="H13" i="1"/>
  <c r="K13" i="1" s="1"/>
  <c r="H14" i="1"/>
  <c r="K14" i="1" s="1"/>
  <c r="I15" i="1"/>
  <c r="I75" i="1" s="1"/>
  <c r="J15" i="1"/>
  <c r="J75" i="1" s="1"/>
  <c r="C15" i="1"/>
  <c r="D15" i="1"/>
  <c r="D75" i="1" s="1"/>
  <c r="E15" i="1"/>
  <c r="E75" i="1" s="1"/>
  <c r="F15" i="1"/>
  <c r="F75" i="1" s="1"/>
  <c r="G15" i="1"/>
  <c r="G75" i="1" s="1"/>
  <c r="B15" i="1"/>
  <c r="M15" i="1"/>
  <c r="M75" i="1" s="1"/>
  <c r="B75" i="1"/>
  <c r="C75" i="1"/>
  <c r="N6" i="1"/>
  <c r="Q15" i="1" l="1"/>
  <c r="Q75" i="1" s="1"/>
  <c r="O75" i="1"/>
  <c r="N15" i="1"/>
  <c r="N75" i="1" s="1"/>
  <c r="H15" i="1"/>
  <c r="K15" i="1" s="1"/>
  <c r="K75" i="1" s="1"/>
  <c r="K6" i="1"/>
  <c r="H75" i="1" l="1"/>
</calcChain>
</file>

<file path=xl/comments1.xml><?xml version="1.0" encoding="utf-8"?>
<comments xmlns="http://schemas.openxmlformats.org/spreadsheetml/2006/main">
  <authors>
    <author>Lee De Leon</author>
  </authors>
  <commentList>
    <comment ref="L23" authorId="0" shapeId="0">
      <text>
        <r>
          <rPr>
            <b/>
            <sz val="9"/>
            <color indexed="81"/>
            <rFont val="Tahoma"/>
            <family val="2"/>
          </rPr>
          <t>Lee De Leon:</t>
        </r>
        <r>
          <rPr>
            <sz val="9"/>
            <color indexed="81"/>
            <rFont val="Tahoma"/>
            <family val="2"/>
          </rPr>
          <t xml:space="preserve">
Total PY GF carry-over</t>
        </r>
      </text>
    </comment>
    <comment ref="M23" authorId="0" shapeId="0">
      <text>
        <r>
          <rPr>
            <b/>
            <sz val="9"/>
            <color indexed="81"/>
            <rFont val="Tahoma"/>
            <family val="2"/>
          </rPr>
          <t>Lee De Leon:</t>
        </r>
        <r>
          <rPr>
            <sz val="9"/>
            <color indexed="81"/>
            <rFont val="Tahoma"/>
            <family val="2"/>
          </rPr>
          <t xml:space="preserve">
Per summer session distribution memos</t>
        </r>
      </text>
    </comment>
    <comment ref="O23" authorId="0" shapeId="0">
      <text>
        <r>
          <rPr>
            <b/>
            <sz val="9"/>
            <color indexed="81"/>
            <rFont val="Tahoma"/>
            <family val="2"/>
          </rPr>
          <t>Lee De Leon:</t>
        </r>
        <r>
          <rPr>
            <sz val="9"/>
            <color indexed="81"/>
            <rFont val="Tahoma"/>
            <family val="2"/>
          </rPr>
          <t xml:space="preserve">
GBPF Total PY Rollover</t>
        </r>
      </text>
    </comment>
  </commentList>
</comments>
</file>

<file path=xl/sharedStrings.xml><?xml version="1.0" encoding="utf-8"?>
<sst xmlns="http://schemas.openxmlformats.org/spreadsheetml/2006/main" count="104" uniqueCount="96">
  <si>
    <t>College of Business and Public Administration</t>
  </si>
  <si>
    <t xml:space="preserve">  Accounting &amp; Finance</t>
  </si>
  <si>
    <t xml:space="preserve">  Management</t>
  </si>
  <si>
    <t xml:space="preserve">  Marketing</t>
  </si>
  <si>
    <t xml:space="preserve">  Public Admin/MPA</t>
  </si>
  <si>
    <t>College of Education</t>
  </si>
  <si>
    <t xml:space="preserve">  Academic Administration</t>
  </si>
  <si>
    <t xml:space="preserve">  Art</t>
  </si>
  <si>
    <t xml:space="preserve">  Communications</t>
  </si>
  <si>
    <t xml:space="preserve">  English</t>
  </si>
  <si>
    <t xml:space="preserve">  Liberal Studies</t>
  </si>
  <si>
    <t xml:space="preserve">  Music</t>
  </si>
  <si>
    <t xml:space="preserve">  Philosophy</t>
  </si>
  <si>
    <t xml:space="preserve">  Theater Arts</t>
  </si>
  <si>
    <t xml:space="preserve">  Fullerton Art Museum</t>
  </si>
  <si>
    <t>College of Natural Sciences</t>
  </si>
  <si>
    <t xml:space="preserve">  Biology</t>
  </si>
  <si>
    <t xml:space="preserve">  Chemistry</t>
  </si>
  <si>
    <t xml:space="preserve">  Computer Science &amp; Eng</t>
  </si>
  <si>
    <t xml:space="preserve">  Health Science</t>
  </si>
  <si>
    <t xml:space="preserve">  Mathematics</t>
  </si>
  <si>
    <t xml:space="preserve">  Nursing</t>
  </si>
  <si>
    <t xml:space="preserve">  Kinesiology</t>
  </si>
  <si>
    <t xml:space="preserve">  Physics</t>
  </si>
  <si>
    <t xml:space="preserve">  Geology</t>
  </si>
  <si>
    <t xml:space="preserve">  Animal House</t>
  </si>
  <si>
    <t>College of Social and Behavioral Sciences</t>
  </si>
  <si>
    <t xml:space="preserve">  Anthropology</t>
  </si>
  <si>
    <t xml:space="preserve">  Criminal Justice</t>
  </si>
  <si>
    <t xml:space="preserve">  Economics</t>
  </si>
  <si>
    <t xml:space="preserve">  Geography &amp; Envr Studies</t>
  </si>
  <si>
    <t xml:space="preserve">  History</t>
  </si>
  <si>
    <t xml:space="preserve">  Political Science</t>
  </si>
  <si>
    <t xml:space="preserve">  Psychology</t>
  </si>
  <si>
    <t xml:space="preserve">  Social Work</t>
  </si>
  <si>
    <t xml:space="preserve">  Military Science</t>
  </si>
  <si>
    <t xml:space="preserve">  Airforce ROTC</t>
  </si>
  <si>
    <t xml:space="preserve">  Info/Decision Sciences</t>
  </si>
  <si>
    <t>College of Arts and Letters</t>
  </si>
  <si>
    <t>Academic Affairs Central Offices</t>
  </si>
  <si>
    <t xml:space="preserve">  Academic Affairs </t>
  </si>
  <si>
    <t xml:space="preserve">  Research &amp; Sponsored Pgms</t>
  </si>
  <si>
    <t xml:space="preserve">  Graduate Studies</t>
  </si>
  <si>
    <t xml:space="preserve">  Undergraduate Programs</t>
  </si>
  <si>
    <t xml:space="preserve">  Office of Community Engmt</t>
  </si>
  <si>
    <t xml:space="preserve">  Palm Desert Campus</t>
  </si>
  <si>
    <t xml:space="preserve">  Academic Senate</t>
  </si>
  <si>
    <t xml:space="preserve">  Center for Intnl Stds &amp; Pgms</t>
  </si>
  <si>
    <t xml:space="preserve">  Library</t>
  </si>
  <si>
    <t>Total</t>
  </si>
  <si>
    <t xml:space="preserve">  World Languages &amp; Literature</t>
  </si>
  <si>
    <t xml:space="preserve">  Humanities</t>
  </si>
  <si>
    <t xml:space="preserve">  Natural Sciences</t>
  </si>
  <si>
    <t xml:space="preserve">  Social Sciences</t>
  </si>
  <si>
    <t>BASELINE FUNDING</t>
  </si>
  <si>
    <t>ONE-TIME FUNDS</t>
  </si>
  <si>
    <t>Total One-Time Funds</t>
  </si>
  <si>
    <t>Total Restricted One-Time funds</t>
  </si>
  <si>
    <t>RESTRICTED ONE-TIME FUNDS</t>
  </si>
  <si>
    <t>Perm Fac FTE</t>
  </si>
  <si>
    <t>Lecturer FTE</t>
  </si>
  <si>
    <t>Perm Mgmt/ Staff FTE</t>
  </si>
  <si>
    <t>Temp Faculty Funding</t>
  </si>
  <si>
    <t>Temp Mgmt/ Staff Funding</t>
  </si>
  <si>
    <t>Assistant Funding</t>
  </si>
  <si>
    <t>Unallocated Baseline /Resv</t>
  </si>
  <si>
    <t>O&amp;E Funding</t>
  </si>
  <si>
    <t>Total Temporary Personnel Funding</t>
  </si>
  <si>
    <t>Summer Session incentive funding</t>
  </si>
  <si>
    <t>CERF accounts</t>
  </si>
  <si>
    <t>Total   Baseline Funds (Temp &amp; OE)</t>
  </si>
  <si>
    <t>Academic Affairs Division Total</t>
  </si>
  <si>
    <t>Previous Year Rollover/ Dvision 1x</t>
  </si>
  <si>
    <t>Previous Year Rollover</t>
  </si>
  <si>
    <t>Doctoral Studies</t>
  </si>
  <si>
    <t>Educational Leadership &amp; Technology</t>
  </si>
  <si>
    <t>Special Education, Rehabilitation &amp; Counseling</t>
  </si>
  <si>
    <t>Student Services</t>
  </si>
  <si>
    <t>Teacher Education &amp; Foundations</t>
  </si>
  <si>
    <t>Academic Administration</t>
  </si>
  <si>
    <t xml:space="preserve">CAL Notes:  </t>
  </si>
  <si>
    <t xml:space="preserve">CBPA Notes:  </t>
  </si>
  <si>
    <t xml:space="preserve">COE Notes:  </t>
  </si>
  <si>
    <t xml:space="preserve">CNS Notes:  </t>
  </si>
  <si>
    <t xml:space="preserve">CSBS Notes:  </t>
  </si>
  <si>
    <t xml:space="preserve">  Learning Research Institue</t>
  </si>
  <si>
    <t>Academic Affairs Division Allocations for 2016-17</t>
  </si>
  <si>
    <t>OSR faculty mentor grant</t>
  </si>
  <si>
    <t xml:space="preserve">  Sociology</t>
  </si>
  <si>
    <t>Staff FTE does not include Baker SSP III funded by SSI.  Faculty FTE does not include Lanneskog funded by CEL</t>
  </si>
  <si>
    <t>TEF CERF includes funds for TESOL CERF</t>
  </si>
  <si>
    <t>Mileage for fieldwork was distributed to depts and is counted in dept O&amp;E</t>
  </si>
  <si>
    <t>One time restricted funds include GA funding, faculty class accounts, summer coordinators, science center, new faculty relocation/house hunting, new faculty recruitment, new faculty travel</t>
  </si>
  <si>
    <t>2016-17 Baseline Operating Budget posted on the budget office website does not have correct numbers for CNS.  The numbers carried forward from prior year and did not include the changes for new hires/</t>
  </si>
  <si>
    <t>separations beginning in the new AY.  The total funding on the website is accurate, the distribution of the funds and position FTE were not accurate.</t>
  </si>
  <si>
    <t>Previous year rollover funds listed under Restricted One-Time Funds consists of Graduate Business Professional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</si>
</sst>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4"/>
      <color theme="1"/>
      <name val="Calibri"/>
      <family val="2"/>
      <scheme val="minor"/>
    </font>
    <font>
      <u/>
      <sz val="11"/>
      <color theme="10"/>
      <name val="Calibri"/>
      <family val="2"/>
      <scheme val="minor"/>
    </font>
    <font>
      <u/>
      <sz val="11"/>
      <color theme="11"/>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sz val="9"/>
      <color theme="1"/>
      <name val="Calibri"/>
      <family val="2"/>
      <scheme val="minor"/>
    </font>
    <font>
      <b/>
      <sz val="9"/>
      <name val="Calibri"/>
      <family val="2"/>
      <scheme val="minor"/>
    </font>
    <font>
      <b/>
      <sz val="8"/>
      <color theme="1"/>
      <name val="Calibri"/>
      <family val="2"/>
      <scheme val="minor"/>
    </font>
    <font>
      <sz val="8"/>
      <color theme="1"/>
      <name val="Calibri"/>
      <family val="2"/>
      <scheme val="minor"/>
    </font>
    <font>
      <b/>
      <sz val="9"/>
      <color indexed="81"/>
      <name val="Tahoma"/>
      <family val="2"/>
    </font>
    <font>
      <sz val="9"/>
      <color indexed="81"/>
      <name val="Tahoma"/>
      <family val="2"/>
    </font>
    <font>
      <i/>
      <sz val="9"/>
      <color theme="1"/>
      <name val="Calibri"/>
      <family val="2"/>
      <scheme val="minor"/>
    </font>
    <font>
      <b/>
      <i/>
      <sz val="9"/>
      <color theme="1"/>
      <name val="Calibri"/>
      <family val="2"/>
      <scheme val="minor"/>
    </font>
    <font>
      <i/>
      <sz val="9"/>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59999389629810485"/>
        <bgColor indexed="64"/>
      </patternFill>
    </fill>
  </fills>
  <borders count="35">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uble">
        <color auto="1"/>
      </left>
      <right style="thin">
        <color auto="1"/>
      </right>
      <top style="medium">
        <color auto="1"/>
      </top>
      <bottom style="medium">
        <color auto="1"/>
      </bottom>
      <diagonal/>
    </border>
    <border>
      <left style="double">
        <color auto="1"/>
      </left>
      <right style="thin">
        <color auto="1"/>
      </right>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style="double">
        <color auto="1"/>
      </left>
      <right style="double">
        <color auto="1"/>
      </right>
      <top style="medium">
        <color auto="1"/>
      </top>
      <bottom style="medium">
        <color auto="1"/>
      </bottom>
      <diagonal/>
    </border>
    <border>
      <left style="double">
        <color auto="1"/>
      </left>
      <right style="double">
        <color auto="1"/>
      </right>
      <top/>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medium">
        <color auto="1"/>
      </left>
      <right style="medium">
        <color auto="1"/>
      </right>
      <top style="medium">
        <color auto="1"/>
      </top>
      <bottom style="medium">
        <color auto="1"/>
      </bottom>
      <diagonal/>
    </border>
    <border>
      <left style="double">
        <color auto="1"/>
      </left>
      <right style="medium">
        <color auto="1"/>
      </right>
      <top style="medium">
        <color auto="1"/>
      </top>
      <bottom style="medium">
        <color auto="1"/>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69">
    <xf numFmtId="0" fontId="0" fillId="0" borderId="0" xfId="0"/>
    <xf numFmtId="0" fontId="1" fillId="0" borderId="0" xfId="0" applyFont="1"/>
    <xf numFmtId="2" fontId="0" fillId="0" borderId="0" xfId="0" applyNumberFormat="1" applyAlignment="1"/>
    <xf numFmtId="0" fontId="0" fillId="0" borderId="0" xfId="0"/>
    <xf numFmtId="0" fontId="0" fillId="0" borderId="0" xfId="0"/>
    <xf numFmtId="0" fontId="0" fillId="0" borderId="0" xfId="0"/>
    <xf numFmtId="2" fontId="4" fillId="5" borderId="8" xfId="0" applyNumberFormat="1" applyFont="1" applyFill="1" applyBorder="1" applyAlignment="1">
      <alignment horizontal="center" wrapText="1"/>
    </xf>
    <xf numFmtId="0" fontId="6" fillId="0" borderId="0" xfId="0" applyFont="1"/>
    <xf numFmtId="2" fontId="6" fillId="0" borderId="0" xfId="0" applyNumberFormat="1" applyFont="1" applyAlignment="1"/>
    <xf numFmtId="0" fontId="4" fillId="0" borderId="26" xfId="0" applyFont="1" applyFill="1" applyBorder="1"/>
    <xf numFmtId="2" fontId="4" fillId="5" borderId="7" xfId="0" applyNumberFormat="1" applyFont="1" applyFill="1" applyBorder="1" applyAlignment="1">
      <alignment horizontal="center" wrapText="1"/>
    </xf>
    <xf numFmtId="0" fontId="4" fillId="5" borderId="8" xfId="0" applyFont="1" applyFill="1" applyBorder="1" applyAlignment="1">
      <alignment horizontal="center" wrapText="1"/>
    </xf>
    <xf numFmtId="0" fontId="4" fillId="5" borderId="9" xfId="0" applyFont="1" applyFill="1" applyBorder="1" applyAlignment="1">
      <alignment horizontal="center" wrapText="1"/>
    </xf>
    <xf numFmtId="0" fontId="4" fillId="5" borderId="22" xfId="0" applyFont="1" applyFill="1" applyBorder="1" applyAlignment="1">
      <alignment horizontal="center" wrapText="1"/>
    </xf>
    <xf numFmtId="0" fontId="4" fillId="4" borderId="15" xfId="0" applyFont="1" applyFill="1" applyBorder="1" applyAlignment="1">
      <alignment horizontal="center" wrapText="1"/>
    </xf>
    <xf numFmtId="0" fontId="4" fillId="4" borderId="19" xfId="0" applyFont="1" applyFill="1" applyBorder="1" applyAlignment="1">
      <alignment horizontal="center" wrapText="1"/>
    </xf>
    <xf numFmtId="0" fontId="4" fillId="4" borderId="22" xfId="0" applyFont="1" applyFill="1" applyBorder="1" applyAlignment="1">
      <alignment horizontal="center" wrapText="1"/>
    </xf>
    <xf numFmtId="0" fontId="4" fillId="8" borderId="7" xfId="0" applyFont="1" applyFill="1" applyBorder="1" applyAlignment="1">
      <alignment horizontal="center" wrapText="1"/>
    </xf>
    <xf numFmtId="0" fontId="4" fillId="8" borderId="8" xfId="0" applyFont="1" applyFill="1" applyBorder="1" applyAlignment="1">
      <alignment horizontal="center" wrapText="1"/>
    </xf>
    <xf numFmtId="0" fontId="4" fillId="8" borderId="22" xfId="0" applyFont="1" applyFill="1" applyBorder="1" applyAlignment="1">
      <alignment horizontal="center" wrapText="1"/>
    </xf>
    <xf numFmtId="0" fontId="4" fillId="9" borderId="8" xfId="0" applyFont="1" applyFill="1" applyBorder="1" applyAlignment="1">
      <alignment horizontal="center" wrapText="1"/>
    </xf>
    <xf numFmtId="0" fontId="4" fillId="9" borderId="9" xfId="0" applyFont="1" applyFill="1" applyBorder="1" applyAlignment="1">
      <alignment horizontal="center" wrapText="1"/>
    </xf>
    <xf numFmtId="0" fontId="4" fillId="9" borderId="22" xfId="0" applyFont="1" applyFill="1" applyBorder="1" applyAlignment="1">
      <alignment horizontal="center" wrapText="1"/>
    </xf>
    <xf numFmtId="0" fontId="7" fillId="0" borderId="0" xfId="0" applyFont="1"/>
    <xf numFmtId="0" fontId="9" fillId="2" borderId="10" xfId="0" applyFont="1" applyFill="1" applyBorder="1"/>
    <xf numFmtId="2" fontId="9" fillId="2" borderId="1" xfId="0" applyNumberFormat="1" applyFont="1" applyFill="1" applyBorder="1" applyAlignment="1">
      <alignment horizontal="center" wrapText="1"/>
    </xf>
    <xf numFmtId="2" fontId="9" fillId="2" borderId="2" xfId="0" applyNumberFormat="1"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23" xfId="0" applyFont="1" applyFill="1" applyBorder="1" applyAlignment="1">
      <alignment horizontal="center" wrapText="1"/>
    </xf>
    <xf numFmtId="0" fontId="9" fillId="3" borderId="16" xfId="0" applyFont="1" applyFill="1" applyBorder="1" applyAlignment="1">
      <alignment horizontal="center" wrapText="1"/>
    </xf>
    <xf numFmtId="0" fontId="9" fillId="3" borderId="0" xfId="0" applyFont="1" applyFill="1" applyBorder="1" applyAlignment="1">
      <alignment horizontal="center" wrapText="1"/>
    </xf>
    <xf numFmtId="0" fontId="9" fillId="3" borderId="23" xfId="0" applyFont="1" applyFill="1" applyBorder="1" applyAlignment="1">
      <alignment horizontal="center" wrapText="1"/>
    </xf>
    <xf numFmtId="0" fontId="9" fillId="8" borderId="1" xfId="0" applyFont="1" applyFill="1" applyBorder="1" applyAlignment="1">
      <alignment horizontal="center" wrapText="1"/>
    </xf>
    <xf numFmtId="0" fontId="9" fillId="8" borderId="2" xfId="0" applyFont="1" applyFill="1" applyBorder="1" applyAlignment="1">
      <alignment horizontal="center" wrapText="1"/>
    </xf>
    <xf numFmtId="0" fontId="9" fillId="8" borderId="23" xfId="0" applyFont="1" applyFill="1" applyBorder="1" applyAlignment="1">
      <alignment horizontal="center"/>
    </xf>
    <xf numFmtId="0" fontId="9" fillId="9" borderId="2" xfId="0" applyFont="1" applyFill="1" applyBorder="1" applyAlignment="1">
      <alignment horizontal="center"/>
    </xf>
    <xf numFmtId="0" fontId="9" fillId="9" borderId="3" xfId="0" applyFont="1" applyFill="1" applyBorder="1" applyAlignment="1">
      <alignment horizontal="center"/>
    </xf>
    <xf numFmtId="0" fontId="9" fillId="9" borderId="23" xfId="0" applyFont="1" applyFill="1" applyBorder="1" applyAlignment="1">
      <alignment horizontal="center"/>
    </xf>
    <xf numFmtId="0" fontId="10" fillId="0" borderId="0" xfId="0" applyFont="1"/>
    <xf numFmtId="0" fontId="10" fillId="0" borderId="10" xfId="0" applyFont="1" applyFill="1" applyBorder="1"/>
    <xf numFmtId="2" fontId="10" fillId="0" borderId="1" xfId="0" applyNumberFormat="1" applyFont="1" applyFill="1" applyBorder="1" applyAlignment="1">
      <alignment wrapText="1"/>
    </xf>
    <xf numFmtId="2" fontId="10" fillId="0" borderId="2" xfId="0" applyNumberFormat="1" applyFont="1" applyFill="1" applyBorder="1" applyAlignment="1">
      <alignment wrapText="1"/>
    </xf>
    <xf numFmtId="38" fontId="10" fillId="0" borderId="2" xfId="0" applyNumberFormat="1" applyFont="1" applyFill="1" applyBorder="1" applyAlignment="1">
      <alignment wrapText="1"/>
    </xf>
    <xf numFmtId="38" fontId="10" fillId="0" borderId="23" xfId="0" applyNumberFormat="1" applyFont="1" applyFill="1" applyBorder="1" applyAlignment="1">
      <alignment wrapText="1"/>
    </xf>
    <xf numFmtId="38" fontId="10" fillId="0" borderId="16" xfId="0" applyNumberFormat="1" applyFont="1" applyFill="1" applyBorder="1" applyAlignment="1">
      <alignment wrapText="1"/>
    </xf>
    <xf numFmtId="38" fontId="10" fillId="0" borderId="0" xfId="0" applyNumberFormat="1" applyFont="1" applyFill="1" applyBorder="1" applyAlignment="1">
      <alignment wrapText="1"/>
    </xf>
    <xf numFmtId="38" fontId="10" fillId="0" borderId="1" xfId="0" applyNumberFormat="1" applyFont="1" applyFill="1" applyBorder="1" applyAlignment="1">
      <alignment wrapText="1"/>
    </xf>
    <xf numFmtId="38" fontId="10" fillId="0" borderId="23" xfId="0" applyNumberFormat="1" applyFont="1" applyFill="1" applyBorder="1" applyAlignment="1"/>
    <xf numFmtId="38" fontId="10" fillId="0" borderId="2" xfId="0" applyNumberFormat="1" applyFont="1" applyFill="1" applyBorder="1" applyAlignment="1"/>
    <xf numFmtId="38" fontId="10" fillId="0" borderId="3" xfId="0" applyNumberFormat="1" applyFont="1" applyFill="1" applyBorder="1" applyAlignment="1"/>
    <xf numFmtId="0" fontId="10" fillId="0" borderId="0" xfId="0" applyFont="1" applyFill="1"/>
    <xf numFmtId="0" fontId="10" fillId="0" borderId="10" xfId="0" applyFont="1" applyBorder="1" applyAlignment="1"/>
    <xf numFmtId="2" fontId="10" fillId="0" borderId="1" xfId="0" applyNumberFormat="1" applyFont="1" applyBorder="1" applyAlignment="1"/>
    <xf numFmtId="2" fontId="10" fillId="0" borderId="2" xfId="0" applyNumberFormat="1" applyFont="1" applyBorder="1" applyAlignment="1"/>
    <xf numFmtId="38" fontId="10" fillId="0" borderId="2" xfId="0" applyNumberFormat="1" applyFont="1" applyBorder="1" applyAlignment="1"/>
    <xf numFmtId="38" fontId="10" fillId="0" borderId="16" xfId="0" applyNumberFormat="1" applyFont="1" applyBorder="1" applyAlignment="1"/>
    <xf numFmtId="38" fontId="10" fillId="0" borderId="0" xfId="0" applyNumberFormat="1" applyFont="1" applyBorder="1" applyAlignment="1"/>
    <xf numFmtId="38" fontId="10" fillId="0" borderId="1" xfId="0" applyNumberFormat="1" applyFont="1" applyBorder="1" applyAlignment="1"/>
    <xf numFmtId="0" fontId="10" fillId="0" borderId="11" xfId="0" applyFont="1" applyFill="1" applyBorder="1" applyAlignment="1">
      <alignment horizontal="right" wrapText="1"/>
    </xf>
    <xf numFmtId="2" fontId="10" fillId="0" borderId="4" xfId="0" applyNumberFormat="1" applyFont="1" applyFill="1" applyBorder="1" applyAlignment="1"/>
    <xf numFmtId="38" fontId="10" fillId="0" borderId="5" xfId="0" applyNumberFormat="1" applyFont="1" applyFill="1" applyBorder="1" applyAlignment="1"/>
    <xf numFmtId="38" fontId="10" fillId="0" borderId="6" xfId="0" applyNumberFormat="1" applyFont="1" applyFill="1" applyBorder="1" applyAlignment="1"/>
    <xf numFmtId="38" fontId="10" fillId="0" borderId="24" xfId="0" applyNumberFormat="1" applyFont="1" applyFill="1" applyBorder="1" applyAlignment="1"/>
    <xf numFmtId="38" fontId="10" fillId="0" borderId="17" xfId="0" applyNumberFormat="1" applyFont="1" applyFill="1" applyBorder="1" applyAlignment="1"/>
    <xf numFmtId="38" fontId="10" fillId="0" borderId="20" xfId="0" applyNumberFormat="1" applyFont="1" applyFill="1" applyBorder="1" applyAlignment="1"/>
    <xf numFmtId="38" fontId="10" fillId="0" borderId="4" xfId="0" applyNumberFormat="1" applyFont="1" applyFill="1" applyBorder="1" applyAlignment="1"/>
    <xf numFmtId="0" fontId="9" fillId="2" borderId="10" xfId="0" applyFont="1" applyFill="1" applyBorder="1" applyAlignment="1">
      <alignment wrapText="1"/>
    </xf>
    <xf numFmtId="2" fontId="10" fillId="2" borderId="1" xfId="0" applyNumberFormat="1" applyFont="1" applyFill="1" applyBorder="1" applyAlignment="1"/>
    <xf numFmtId="38" fontId="10" fillId="2" borderId="2" xfId="0" applyNumberFormat="1" applyFont="1" applyFill="1" applyBorder="1" applyAlignment="1"/>
    <xf numFmtId="38" fontId="10" fillId="2" borderId="3" xfId="0" applyNumberFormat="1" applyFont="1" applyFill="1" applyBorder="1" applyAlignment="1"/>
    <xf numFmtId="38" fontId="10" fillId="2" borderId="23" xfId="0" applyNumberFormat="1" applyFont="1" applyFill="1" applyBorder="1" applyAlignment="1"/>
    <xf numFmtId="38" fontId="10" fillId="3" borderId="16" xfId="0" applyNumberFormat="1" applyFont="1" applyFill="1" applyBorder="1" applyAlignment="1"/>
    <xf numFmtId="38" fontId="10" fillId="3" borderId="0" xfId="0" applyNumberFormat="1" applyFont="1" applyFill="1" applyBorder="1" applyAlignment="1"/>
    <xf numFmtId="38" fontId="10" fillId="3" borderId="23" xfId="0" applyNumberFormat="1" applyFont="1" applyFill="1" applyBorder="1" applyAlignment="1"/>
    <xf numFmtId="38" fontId="10" fillId="8" borderId="1" xfId="0" applyNumberFormat="1" applyFont="1" applyFill="1" applyBorder="1" applyAlignment="1"/>
    <xf numFmtId="38" fontId="10" fillId="8" borderId="2" xfId="0" applyNumberFormat="1" applyFont="1" applyFill="1" applyBorder="1" applyAlignment="1"/>
    <xf numFmtId="38" fontId="10" fillId="8" borderId="23" xfId="0" applyNumberFormat="1" applyFont="1" applyFill="1" applyBorder="1" applyAlignment="1"/>
    <xf numFmtId="38" fontId="10" fillId="9" borderId="2" xfId="0" applyNumberFormat="1" applyFont="1" applyFill="1" applyBorder="1" applyAlignment="1"/>
    <xf numFmtId="38" fontId="10" fillId="9" borderId="3" xfId="0" applyNumberFormat="1" applyFont="1" applyFill="1" applyBorder="1" applyAlignment="1"/>
    <xf numFmtId="38" fontId="10" fillId="9" borderId="23" xfId="0" applyNumberFormat="1" applyFont="1" applyFill="1" applyBorder="1" applyAlignment="1"/>
    <xf numFmtId="38" fontId="10" fillId="0" borderId="2" xfId="0" applyNumberFormat="1" applyFont="1" applyBorder="1" applyAlignment="1">
      <alignment horizontal="right"/>
    </xf>
    <xf numFmtId="38" fontId="10" fillId="0" borderId="3" xfId="0" applyNumberFormat="1" applyFont="1" applyBorder="1" applyAlignment="1"/>
    <xf numFmtId="38" fontId="10" fillId="0" borderId="23" xfId="0" applyNumberFormat="1" applyFont="1" applyBorder="1" applyAlignment="1"/>
    <xf numFmtId="38" fontId="10" fillId="0" borderId="1" xfId="0" applyNumberFormat="1" applyFont="1" applyFill="1" applyBorder="1" applyAlignment="1"/>
    <xf numFmtId="0" fontId="10" fillId="0" borderId="10" xfId="0" applyFont="1" applyBorder="1"/>
    <xf numFmtId="38" fontId="10" fillId="0" borderId="16" xfId="0" applyNumberFormat="1" applyFont="1" applyFill="1" applyBorder="1" applyAlignment="1"/>
    <xf numFmtId="38" fontId="10" fillId="0" borderId="0" xfId="0" applyNumberFormat="1" applyFont="1" applyFill="1" applyBorder="1" applyAlignment="1"/>
    <xf numFmtId="0" fontId="10" fillId="0" borderId="11" xfId="0" applyFont="1" applyFill="1" applyBorder="1" applyAlignment="1">
      <alignment horizontal="right"/>
    </xf>
    <xf numFmtId="0" fontId="10" fillId="7" borderId="10" xfId="0" applyFont="1" applyFill="1" applyBorder="1"/>
    <xf numFmtId="2" fontId="10" fillId="7" borderId="1" xfId="0" applyNumberFormat="1" applyFont="1" applyFill="1" applyBorder="1" applyAlignment="1"/>
    <xf numFmtId="2" fontId="10" fillId="7" borderId="2" xfId="0" applyNumberFormat="1" applyFont="1" applyFill="1" applyBorder="1" applyAlignment="1"/>
    <xf numFmtId="38" fontId="10" fillId="7" borderId="2" xfId="0" applyNumberFormat="1" applyFont="1" applyFill="1" applyBorder="1" applyAlignment="1"/>
    <xf numFmtId="38" fontId="10" fillId="7" borderId="23" xfId="0" applyNumberFormat="1" applyFont="1" applyFill="1" applyBorder="1" applyAlignment="1"/>
    <xf numFmtId="38" fontId="10" fillId="7" borderId="16" xfId="0" applyNumberFormat="1" applyFont="1" applyFill="1" applyBorder="1" applyAlignment="1"/>
    <xf numFmtId="38" fontId="10" fillId="7" borderId="0" xfId="0" applyNumberFormat="1" applyFont="1" applyFill="1" applyBorder="1" applyAlignment="1"/>
    <xf numFmtId="38" fontId="10" fillId="7" borderId="23" xfId="0" applyNumberFormat="1" applyFont="1" applyFill="1" applyBorder="1" applyAlignment="1">
      <alignment wrapText="1"/>
    </xf>
    <xf numFmtId="38" fontId="10" fillId="7" borderId="1" xfId="0" applyNumberFormat="1" applyFont="1" applyFill="1" applyBorder="1" applyAlignment="1"/>
    <xf numFmtId="38" fontId="10" fillId="7" borderId="3" xfId="0" applyNumberFormat="1" applyFont="1" applyFill="1" applyBorder="1" applyAlignment="1"/>
    <xf numFmtId="3" fontId="10" fillId="0" borderId="4" xfId="0" applyNumberFormat="1" applyFont="1" applyFill="1" applyBorder="1" applyAlignment="1"/>
    <xf numFmtId="38" fontId="10" fillId="0" borderId="29" xfId="0" applyNumberFormat="1" applyFont="1" applyFill="1" applyBorder="1" applyAlignment="1"/>
    <xf numFmtId="0" fontId="10" fillId="0" borderId="12" xfId="0" applyFont="1" applyFill="1" applyBorder="1" applyAlignment="1">
      <alignment horizontal="right" wrapText="1"/>
    </xf>
    <xf numFmtId="2" fontId="10" fillId="0" borderId="13" xfId="0" applyNumberFormat="1" applyFont="1" applyFill="1" applyBorder="1" applyAlignment="1"/>
    <xf numFmtId="3" fontId="10" fillId="0" borderId="13" xfId="0" applyNumberFormat="1" applyFont="1" applyFill="1" applyBorder="1" applyAlignment="1"/>
    <xf numFmtId="38" fontId="10" fillId="0" borderId="25" xfId="0" applyNumberFormat="1" applyFont="1" applyFill="1" applyBorder="1" applyAlignment="1"/>
    <xf numFmtId="38" fontId="10" fillId="0" borderId="18" xfId="0" applyNumberFormat="1" applyFont="1" applyFill="1" applyBorder="1" applyAlignment="1"/>
    <xf numFmtId="38" fontId="10" fillId="0" borderId="21" xfId="0" applyNumberFormat="1" applyFont="1" applyFill="1" applyBorder="1" applyAlignment="1"/>
    <xf numFmtId="38" fontId="10" fillId="0" borderId="13" xfId="0" applyNumberFormat="1" applyFont="1" applyFill="1" applyBorder="1" applyAlignment="1"/>
    <xf numFmtId="38" fontId="10" fillId="0" borderId="14" xfId="0" applyNumberFormat="1" applyFont="1" applyFill="1" applyBorder="1" applyAlignment="1"/>
    <xf numFmtId="40" fontId="10" fillId="0" borderId="0" xfId="0" applyNumberFormat="1" applyFont="1" applyFill="1"/>
    <xf numFmtId="38" fontId="10" fillId="8" borderId="30" xfId="0" applyNumberFormat="1" applyFont="1" applyFill="1" applyBorder="1" applyAlignment="1"/>
    <xf numFmtId="38" fontId="10" fillId="0" borderId="31" xfId="0" applyNumberFormat="1" applyFont="1" applyFill="1" applyBorder="1" applyAlignment="1"/>
    <xf numFmtId="38" fontId="10" fillId="7" borderId="31" xfId="0" applyNumberFormat="1" applyFont="1" applyFill="1" applyBorder="1" applyAlignment="1"/>
    <xf numFmtId="38" fontId="10" fillId="8" borderId="31" xfId="0" applyNumberFormat="1" applyFont="1" applyFill="1" applyBorder="1" applyAlignment="1"/>
    <xf numFmtId="2" fontId="10" fillId="0" borderId="2" xfId="0" applyNumberFormat="1" applyFont="1" applyFill="1" applyBorder="1" applyAlignment="1"/>
    <xf numFmtId="38" fontId="10" fillId="0" borderId="31" xfId="0" applyNumberFormat="1" applyFont="1" applyBorder="1" applyAlignment="1"/>
    <xf numFmtId="2" fontId="10" fillId="0" borderId="1" xfId="0" applyNumberFormat="1" applyFont="1" applyFill="1" applyBorder="1" applyAlignment="1"/>
    <xf numFmtId="38" fontId="10" fillId="0" borderId="32" xfId="0" applyNumberFormat="1" applyFont="1" applyBorder="1" applyAlignment="1"/>
    <xf numFmtId="38" fontId="10" fillId="0" borderId="32" xfId="0" applyNumberFormat="1" applyFont="1" applyFill="1" applyBorder="1" applyAlignment="1"/>
    <xf numFmtId="4" fontId="10" fillId="0" borderId="4" xfId="0" applyNumberFormat="1" applyFont="1" applyFill="1" applyBorder="1" applyAlignment="1"/>
    <xf numFmtId="2" fontId="10" fillId="0" borderId="2" xfId="0" applyNumberFormat="1" applyFont="1" applyBorder="1" applyAlignment="1">
      <alignment vertical="top"/>
    </xf>
    <xf numFmtId="2" fontId="10" fillId="6" borderId="8" xfId="0" applyNumberFormat="1" applyFont="1" applyFill="1" applyBorder="1" applyAlignment="1"/>
    <xf numFmtId="3" fontId="10" fillId="6" borderId="8" xfId="0" applyNumberFormat="1" applyFont="1" applyFill="1" applyBorder="1" applyAlignment="1"/>
    <xf numFmtId="3" fontId="10" fillId="6" borderId="9" xfId="0" applyNumberFormat="1" applyFont="1" applyFill="1" applyBorder="1" applyAlignment="1"/>
    <xf numFmtId="3" fontId="10" fillId="6" borderId="22" xfId="0" applyNumberFormat="1" applyFont="1" applyFill="1" applyBorder="1" applyAlignment="1"/>
    <xf numFmtId="3" fontId="10" fillId="3" borderId="7" xfId="0" applyNumberFormat="1" applyFont="1" applyFill="1" applyBorder="1" applyAlignment="1"/>
    <xf numFmtId="3" fontId="10" fillId="3" borderId="8" xfId="0" applyNumberFormat="1" applyFont="1" applyFill="1" applyBorder="1" applyAlignment="1"/>
    <xf numFmtId="3" fontId="10" fillId="3" borderId="15" xfId="0" applyNumberFormat="1" applyFont="1" applyFill="1" applyBorder="1" applyAlignment="1"/>
    <xf numFmtId="3" fontId="10" fillId="8" borderId="7" xfId="0" applyNumberFormat="1" applyFont="1" applyFill="1" applyBorder="1" applyAlignment="1"/>
    <xf numFmtId="3" fontId="10" fillId="8" borderId="8" xfId="0" applyNumberFormat="1" applyFont="1" applyFill="1" applyBorder="1" applyAlignment="1"/>
    <xf numFmtId="3" fontId="10" fillId="8" borderId="15" xfId="0" applyNumberFormat="1" applyFont="1" applyFill="1" applyBorder="1" applyAlignment="1"/>
    <xf numFmtId="3" fontId="10" fillId="9" borderId="7" xfId="0" applyNumberFormat="1" applyFont="1" applyFill="1" applyBorder="1" applyAlignment="1"/>
    <xf numFmtId="3" fontId="10" fillId="9" borderId="9" xfId="0" applyNumberFormat="1" applyFont="1" applyFill="1" applyBorder="1" applyAlignment="1"/>
    <xf numFmtId="3" fontId="10" fillId="9" borderId="34" xfId="0" applyNumberFormat="1" applyFont="1" applyFill="1" applyBorder="1" applyAlignment="1"/>
    <xf numFmtId="2" fontId="10" fillId="6" borderId="7" xfId="0" applyNumberFormat="1" applyFont="1" applyFill="1" applyBorder="1" applyAlignment="1"/>
    <xf numFmtId="0" fontId="9" fillId="6" borderId="33" xfId="0" applyFont="1" applyFill="1" applyBorder="1" applyAlignment="1"/>
    <xf numFmtId="0" fontId="10" fillId="0" borderId="0" xfId="0" applyFont="1"/>
    <xf numFmtId="0" fontId="0" fillId="0" borderId="0" xfId="0"/>
    <xf numFmtId="0" fontId="10" fillId="0" borderId="0" xfId="0" applyFont="1"/>
    <xf numFmtId="38" fontId="9" fillId="0" borderId="2" xfId="0" applyNumberFormat="1" applyFont="1" applyBorder="1" applyAlignment="1">
      <alignment horizontal="right"/>
    </xf>
    <xf numFmtId="38" fontId="10" fillId="0" borderId="0" xfId="0" applyNumberFormat="1" applyFont="1" applyFill="1" applyBorder="1" applyAlignment="1">
      <alignment horizontal="right"/>
    </xf>
    <xf numFmtId="38" fontId="9" fillId="0" borderId="2" xfId="0" quotePrefix="1" applyNumberFormat="1" applyFont="1" applyBorder="1" applyAlignment="1">
      <alignment horizontal="right"/>
    </xf>
    <xf numFmtId="0" fontId="6" fillId="0" borderId="0" xfId="0" applyFont="1" applyFill="1" applyBorder="1" applyAlignment="1"/>
    <xf numFmtId="0" fontId="6" fillId="0" borderId="0" xfId="0" applyFont="1" applyAlignment="1"/>
    <xf numFmtId="0" fontId="13" fillId="0" borderId="0" xfId="0" applyFont="1" applyFill="1" applyBorder="1" applyAlignment="1"/>
    <xf numFmtId="0" fontId="13" fillId="0" borderId="0" xfId="0" applyFont="1"/>
    <xf numFmtId="0" fontId="13" fillId="0" borderId="0" xfId="0" applyFont="1" applyAlignment="1"/>
    <xf numFmtId="0" fontId="13" fillId="0" borderId="0" xfId="0" applyFont="1" applyFill="1" applyBorder="1"/>
    <xf numFmtId="0" fontId="14" fillId="0" borderId="0" xfId="0" applyFont="1" applyFill="1" applyBorder="1" applyAlignment="1">
      <alignment horizontal="left"/>
    </xf>
    <xf numFmtId="0" fontId="4" fillId="0" borderId="0" xfId="0" applyFont="1" applyFill="1" applyBorder="1" applyAlignment="1">
      <alignment horizontal="right"/>
    </xf>
    <xf numFmtId="0" fontId="10" fillId="0" borderId="0" xfId="0" applyFont="1"/>
    <xf numFmtId="0" fontId="0" fillId="0" borderId="0" xfId="0"/>
    <xf numFmtId="40" fontId="10" fillId="0" borderId="2" xfId="0" applyNumberFormat="1" applyFont="1" applyBorder="1" applyAlignment="1"/>
    <xf numFmtId="0" fontId="0" fillId="0" borderId="0" xfId="0" applyFill="1" applyBorder="1" applyAlignment="1"/>
    <xf numFmtId="0" fontId="0" fillId="0" borderId="0" xfId="0" applyAlignment="1"/>
    <xf numFmtId="38" fontId="9" fillId="0" borderId="4" xfId="0" applyNumberFormat="1" applyFont="1" applyFill="1" applyBorder="1" applyAlignment="1"/>
    <xf numFmtId="38" fontId="9" fillId="0" borderId="5" xfId="0" applyNumberFormat="1" applyFont="1" applyFill="1" applyBorder="1" applyAlignment="1"/>
    <xf numFmtId="0" fontId="15" fillId="0" borderId="0" xfId="0" applyFont="1"/>
    <xf numFmtId="0" fontId="10" fillId="0" borderId="0" xfId="0" applyFont="1"/>
    <xf numFmtId="2" fontId="5" fillId="2" borderId="27" xfId="0" applyNumberFormat="1" applyFont="1" applyFill="1" applyBorder="1" applyAlignment="1">
      <alignment horizontal="center" vertical="center"/>
    </xf>
    <xf numFmtId="2" fontId="5" fillId="2" borderId="19" xfId="0" applyNumberFormat="1" applyFont="1" applyFill="1" applyBorder="1" applyAlignment="1">
      <alignment horizontal="center" vertical="center"/>
    </xf>
    <xf numFmtId="2" fontId="5" fillId="2" borderId="28" xfId="0" applyNumberFormat="1" applyFont="1" applyFill="1" applyBorder="1" applyAlignment="1">
      <alignment horizontal="center" vertical="center"/>
    </xf>
    <xf numFmtId="0" fontId="8" fillId="8" borderId="19" xfId="0" applyFont="1" applyFill="1" applyBorder="1" applyAlignment="1">
      <alignment horizontal="center" vertical="center"/>
    </xf>
    <xf numFmtId="0" fontId="5" fillId="9" borderId="27" xfId="0" applyFont="1" applyFill="1" applyBorder="1" applyAlignment="1">
      <alignment horizontal="center" vertical="center"/>
    </xf>
    <xf numFmtId="0" fontId="5" fillId="9" borderId="19" xfId="0" applyFont="1" applyFill="1" applyBorder="1" applyAlignment="1">
      <alignment horizontal="center" vertical="center"/>
    </xf>
    <xf numFmtId="0" fontId="5" fillId="9" borderId="28" xfId="0" applyFont="1" applyFill="1" applyBorder="1" applyAlignment="1">
      <alignment horizontal="center" vertical="center"/>
    </xf>
    <xf numFmtId="0" fontId="10" fillId="0" borderId="0" xfId="0" applyFont="1"/>
    <xf numFmtId="0" fontId="0" fillId="0" borderId="0" xfId="0"/>
    <xf numFmtId="0" fontId="0" fillId="0" borderId="0" xfId="0" applyFill="1" applyBorder="1" applyAlignment="1">
      <alignment horizontal="right"/>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colors>
    <mruColors>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99"/>
  <sheetViews>
    <sheetView tabSelected="1" zoomScaleNormal="100" zoomScalePageLayoutView="75" workbookViewId="0">
      <pane xSplit="1" ySplit="4" topLeftCell="B43" activePane="bottomRight" state="frozen"/>
      <selection pane="topRight" activeCell="B1" sqref="B1"/>
      <selection pane="bottomLeft" activeCell="A5" sqref="A5"/>
      <selection pane="bottomRight" activeCell="I40" sqref="I40"/>
    </sheetView>
  </sheetViews>
  <sheetFormatPr defaultColWidth="8.85546875" defaultRowHeight="15" x14ac:dyDescent="0.25"/>
  <cols>
    <col min="1" max="1" width="27.140625" customWidth="1"/>
    <col min="2" max="2" width="7.5703125" style="2" customWidth="1"/>
    <col min="3" max="3" width="8.42578125" style="2" customWidth="1"/>
    <col min="4" max="4" width="9.5703125" customWidth="1"/>
    <col min="5" max="5" width="10.5703125" customWidth="1"/>
    <col min="6" max="6" width="10.5703125" style="3" customWidth="1"/>
    <col min="7" max="8" width="10.5703125" customWidth="1"/>
    <col min="9" max="9" width="10.5703125" style="4" customWidth="1"/>
    <col min="10" max="11" width="10.5703125" style="3" customWidth="1"/>
    <col min="12" max="16" width="10.5703125" customWidth="1"/>
    <col min="17" max="17" width="11.42578125" customWidth="1"/>
    <col min="18" max="18" width="10.42578125" bestFit="1" customWidth="1"/>
    <col min="20" max="20" width="9.140625" style="5" bestFit="1" customWidth="1"/>
    <col min="21" max="21" width="8.85546875" style="5"/>
    <col min="22" max="22" width="9.140625" bestFit="1" customWidth="1"/>
  </cols>
  <sheetData>
    <row r="1" spans="1:17" ht="27.75" customHeight="1" x14ac:dyDescent="0.3">
      <c r="A1" s="1" t="s">
        <v>86</v>
      </c>
    </row>
    <row r="2" spans="1:17" s="7" customFormat="1" ht="27.75" customHeight="1" thickBot="1" x14ac:dyDescent="0.25">
      <c r="B2" s="8"/>
      <c r="C2" s="8"/>
    </row>
    <row r="3" spans="1:17" s="23" customFormat="1" ht="27.75" customHeight="1" thickBot="1" x14ac:dyDescent="0.25">
      <c r="B3" s="159" t="s">
        <v>54</v>
      </c>
      <c r="C3" s="160"/>
      <c r="D3" s="160"/>
      <c r="E3" s="160"/>
      <c r="F3" s="160"/>
      <c r="G3" s="160"/>
      <c r="H3" s="160"/>
      <c r="I3" s="160"/>
      <c r="J3" s="160"/>
      <c r="K3" s="161"/>
      <c r="L3" s="162" t="s">
        <v>55</v>
      </c>
      <c r="M3" s="162"/>
      <c r="N3" s="162"/>
      <c r="O3" s="163" t="s">
        <v>58</v>
      </c>
      <c r="P3" s="164"/>
      <c r="Q3" s="165"/>
    </row>
    <row r="4" spans="1:17" s="7" customFormat="1" ht="64.5" thickBot="1" x14ac:dyDescent="0.25">
      <c r="A4" s="9"/>
      <c r="B4" s="10" t="s">
        <v>59</v>
      </c>
      <c r="C4" s="10" t="s">
        <v>60</v>
      </c>
      <c r="D4" s="6" t="s">
        <v>61</v>
      </c>
      <c r="E4" s="11" t="s">
        <v>62</v>
      </c>
      <c r="F4" s="11" t="s">
        <v>63</v>
      </c>
      <c r="G4" s="12" t="s">
        <v>64</v>
      </c>
      <c r="H4" s="13" t="s">
        <v>67</v>
      </c>
      <c r="I4" s="14" t="s">
        <v>65</v>
      </c>
      <c r="J4" s="15" t="s">
        <v>66</v>
      </c>
      <c r="K4" s="16" t="s">
        <v>70</v>
      </c>
      <c r="L4" s="17" t="s">
        <v>72</v>
      </c>
      <c r="M4" s="18" t="s">
        <v>68</v>
      </c>
      <c r="N4" s="19" t="s">
        <v>56</v>
      </c>
      <c r="O4" s="20" t="s">
        <v>73</v>
      </c>
      <c r="P4" s="21" t="s">
        <v>69</v>
      </c>
      <c r="Q4" s="22" t="s">
        <v>57</v>
      </c>
    </row>
    <row r="5" spans="1:17" s="39" customFormat="1" ht="30" customHeight="1" x14ac:dyDescent="0.2">
      <c r="A5" s="24" t="s">
        <v>39</v>
      </c>
      <c r="B5" s="25"/>
      <c r="C5" s="25"/>
      <c r="D5" s="26"/>
      <c r="E5" s="27"/>
      <c r="F5" s="27"/>
      <c r="G5" s="28"/>
      <c r="H5" s="29"/>
      <c r="I5" s="30"/>
      <c r="J5" s="31"/>
      <c r="K5" s="32"/>
      <c r="L5" s="33"/>
      <c r="M5" s="34"/>
      <c r="N5" s="35"/>
      <c r="O5" s="36"/>
      <c r="P5" s="37"/>
      <c r="Q5" s="38"/>
    </row>
    <row r="6" spans="1:17" s="51" customFormat="1" ht="12" customHeight="1" x14ac:dyDescent="0.2">
      <c r="A6" s="40" t="s">
        <v>40</v>
      </c>
      <c r="B6" s="41">
        <v>0</v>
      </c>
      <c r="C6" s="41">
        <v>0</v>
      </c>
      <c r="D6" s="42">
        <v>18</v>
      </c>
      <c r="E6" s="43">
        <v>2000000</v>
      </c>
      <c r="F6" s="43">
        <v>0</v>
      </c>
      <c r="G6" s="43">
        <v>21161</v>
      </c>
      <c r="H6" s="44">
        <f>E6+F6+G6</f>
        <v>2021161</v>
      </c>
      <c r="I6" s="45">
        <v>816513</v>
      </c>
      <c r="J6" s="46">
        <v>1300780</v>
      </c>
      <c r="K6" s="44">
        <f t="shared" ref="K6:K15" si="0">SUM(H6:J6)</f>
        <v>4138454</v>
      </c>
      <c r="L6" s="47">
        <v>541005</v>
      </c>
      <c r="M6" s="43">
        <v>357161</v>
      </c>
      <c r="N6" s="48">
        <f>SUM(L6:M6)</f>
        <v>898166</v>
      </c>
      <c r="O6" s="49">
        <v>468000</v>
      </c>
      <c r="P6" s="50">
        <v>74485</v>
      </c>
      <c r="Q6" s="48">
        <f>SUM(O6:P6)</f>
        <v>542485</v>
      </c>
    </row>
    <row r="7" spans="1:17" s="51" customFormat="1" ht="12" customHeight="1" x14ac:dyDescent="0.2">
      <c r="A7" s="40" t="s">
        <v>41</v>
      </c>
      <c r="B7" s="41">
        <v>0</v>
      </c>
      <c r="C7" s="41">
        <v>0</v>
      </c>
      <c r="D7" s="42">
        <v>9</v>
      </c>
      <c r="E7" s="43">
        <v>104286</v>
      </c>
      <c r="F7" s="43">
        <v>1444</v>
      </c>
      <c r="G7" s="43">
        <v>171212</v>
      </c>
      <c r="H7" s="44">
        <f t="shared" ref="H7:H14" si="1">E7+F7+G7</f>
        <v>276942</v>
      </c>
      <c r="I7" s="56">
        <v>0</v>
      </c>
      <c r="J7" s="46">
        <v>33670</v>
      </c>
      <c r="K7" s="44">
        <f t="shared" si="0"/>
        <v>310612</v>
      </c>
      <c r="L7" s="47">
        <v>197632</v>
      </c>
      <c r="M7" s="49">
        <v>0</v>
      </c>
      <c r="N7" s="48">
        <f t="shared" ref="N7:N14" si="2">SUM(L7:M7)</f>
        <v>197632</v>
      </c>
      <c r="O7" s="49">
        <v>0</v>
      </c>
      <c r="P7" s="50">
        <v>0</v>
      </c>
      <c r="Q7" s="48">
        <f t="shared" ref="Q7:Q14" si="3">SUM(O7:P7)</f>
        <v>0</v>
      </c>
    </row>
    <row r="8" spans="1:17" s="51" customFormat="1" ht="12" customHeight="1" x14ac:dyDescent="0.2">
      <c r="A8" s="40" t="s">
        <v>42</v>
      </c>
      <c r="B8" s="41">
        <v>0</v>
      </c>
      <c r="C8" s="41">
        <v>0</v>
      </c>
      <c r="D8" s="42">
        <v>13</v>
      </c>
      <c r="E8" s="43">
        <v>0</v>
      </c>
      <c r="F8" s="43">
        <v>16938</v>
      </c>
      <c r="G8" s="43">
        <v>14088</v>
      </c>
      <c r="H8" s="44">
        <f t="shared" si="1"/>
        <v>31026</v>
      </c>
      <c r="I8" s="56">
        <v>0</v>
      </c>
      <c r="J8" s="46">
        <v>51446</v>
      </c>
      <c r="K8" s="44">
        <f t="shared" si="0"/>
        <v>82472</v>
      </c>
      <c r="L8" s="47">
        <v>26383</v>
      </c>
      <c r="M8" s="49">
        <v>0</v>
      </c>
      <c r="N8" s="48">
        <f t="shared" si="2"/>
        <v>26383</v>
      </c>
      <c r="O8" s="49">
        <v>0</v>
      </c>
      <c r="P8" s="50">
        <v>0</v>
      </c>
      <c r="Q8" s="48">
        <f t="shared" si="3"/>
        <v>0</v>
      </c>
    </row>
    <row r="9" spans="1:17" s="51" customFormat="1" ht="12" customHeight="1" x14ac:dyDescent="0.2">
      <c r="A9" s="40" t="s">
        <v>43</v>
      </c>
      <c r="B9" s="41">
        <v>0</v>
      </c>
      <c r="C9" s="41">
        <v>0</v>
      </c>
      <c r="D9" s="42">
        <v>39.5</v>
      </c>
      <c r="E9" s="43">
        <v>222743</v>
      </c>
      <c r="F9" s="43">
        <v>99009</v>
      </c>
      <c r="G9" s="43">
        <v>112930</v>
      </c>
      <c r="H9" s="44">
        <f t="shared" si="1"/>
        <v>434682</v>
      </c>
      <c r="I9" s="56">
        <v>0</v>
      </c>
      <c r="J9" s="46">
        <v>145289</v>
      </c>
      <c r="K9" s="44">
        <f t="shared" si="0"/>
        <v>579971</v>
      </c>
      <c r="L9" s="47">
        <v>191793</v>
      </c>
      <c r="M9" s="49">
        <v>0</v>
      </c>
      <c r="N9" s="48">
        <f t="shared" si="2"/>
        <v>191793</v>
      </c>
      <c r="O9" s="49">
        <v>0</v>
      </c>
      <c r="P9" s="50">
        <v>0</v>
      </c>
      <c r="Q9" s="48">
        <f t="shared" si="3"/>
        <v>0</v>
      </c>
    </row>
    <row r="10" spans="1:17" s="51" customFormat="1" ht="12" customHeight="1" x14ac:dyDescent="0.2">
      <c r="A10" s="40" t="s">
        <v>44</v>
      </c>
      <c r="B10" s="41">
        <v>0</v>
      </c>
      <c r="C10" s="41">
        <v>0</v>
      </c>
      <c r="D10" s="42">
        <v>4</v>
      </c>
      <c r="E10" s="43">
        <v>0</v>
      </c>
      <c r="F10" s="43">
        <v>0</v>
      </c>
      <c r="G10" s="55">
        <v>4800</v>
      </c>
      <c r="H10" s="44">
        <f t="shared" si="1"/>
        <v>4800</v>
      </c>
      <c r="I10" s="56">
        <v>0</v>
      </c>
      <c r="J10" s="46">
        <v>185756</v>
      </c>
      <c r="K10" s="44">
        <f t="shared" si="0"/>
        <v>190556</v>
      </c>
      <c r="L10" s="47">
        <v>26601</v>
      </c>
      <c r="M10" s="49">
        <v>0</v>
      </c>
      <c r="N10" s="48">
        <f t="shared" si="2"/>
        <v>26601</v>
      </c>
      <c r="O10" s="49">
        <v>0</v>
      </c>
      <c r="P10" s="50">
        <v>0</v>
      </c>
      <c r="Q10" s="48">
        <f t="shared" si="3"/>
        <v>0</v>
      </c>
    </row>
    <row r="11" spans="1:17" s="39" customFormat="1" ht="12" customHeight="1" x14ac:dyDescent="0.2">
      <c r="A11" s="52" t="s">
        <v>45</v>
      </c>
      <c r="B11" s="53">
        <v>1</v>
      </c>
      <c r="C11" s="53">
        <v>0</v>
      </c>
      <c r="D11" s="54">
        <v>20</v>
      </c>
      <c r="E11" s="55">
        <v>955471</v>
      </c>
      <c r="F11" s="55">
        <v>113935</v>
      </c>
      <c r="G11" s="55">
        <v>10000</v>
      </c>
      <c r="H11" s="44">
        <f t="shared" si="1"/>
        <v>1079406</v>
      </c>
      <c r="I11" s="56">
        <v>0</v>
      </c>
      <c r="J11" s="57">
        <v>342020</v>
      </c>
      <c r="K11" s="44">
        <f t="shared" si="0"/>
        <v>1421426</v>
      </c>
      <c r="L11" s="58">
        <v>99961</v>
      </c>
      <c r="M11" s="49">
        <v>0</v>
      </c>
      <c r="N11" s="48">
        <f t="shared" si="2"/>
        <v>99961</v>
      </c>
      <c r="O11" s="55">
        <v>0</v>
      </c>
      <c r="P11" s="50">
        <v>0</v>
      </c>
      <c r="Q11" s="48">
        <f t="shared" si="3"/>
        <v>0</v>
      </c>
    </row>
    <row r="12" spans="1:17" s="39" customFormat="1" ht="11.25" x14ac:dyDescent="0.2">
      <c r="A12" s="52" t="s">
        <v>46</v>
      </c>
      <c r="B12" s="53">
        <v>0</v>
      </c>
      <c r="C12" s="53">
        <v>0</v>
      </c>
      <c r="D12" s="54">
        <v>1</v>
      </c>
      <c r="E12" s="55">
        <v>0</v>
      </c>
      <c r="F12" s="55">
        <v>0</v>
      </c>
      <c r="G12" s="55">
        <v>0</v>
      </c>
      <c r="H12" s="44">
        <f t="shared" si="1"/>
        <v>0</v>
      </c>
      <c r="I12" s="56">
        <v>0</v>
      </c>
      <c r="J12" s="57">
        <v>3292</v>
      </c>
      <c r="K12" s="44">
        <f t="shared" si="0"/>
        <v>3292</v>
      </c>
      <c r="L12" s="58">
        <v>14352</v>
      </c>
      <c r="M12" s="49">
        <v>0</v>
      </c>
      <c r="N12" s="48">
        <f t="shared" si="2"/>
        <v>14352</v>
      </c>
      <c r="O12" s="55">
        <v>0</v>
      </c>
      <c r="P12" s="50">
        <v>0</v>
      </c>
      <c r="Q12" s="48">
        <f t="shared" si="3"/>
        <v>0</v>
      </c>
    </row>
    <row r="13" spans="1:17" s="39" customFormat="1" ht="11.25" x14ac:dyDescent="0.2">
      <c r="A13" s="52" t="s">
        <v>47</v>
      </c>
      <c r="B13" s="53">
        <v>0</v>
      </c>
      <c r="C13" s="53">
        <v>0</v>
      </c>
      <c r="D13" s="54">
        <v>14</v>
      </c>
      <c r="E13" s="55">
        <v>0</v>
      </c>
      <c r="F13" s="55">
        <v>119029</v>
      </c>
      <c r="G13" s="55">
        <v>2538</v>
      </c>
      <c r="H13" s="44">
        <f t="shared" si="1"/>
        <v>121567</v>
      </c>
      <c r="I13" s="56">
        <v>0</v>
      </c>
      <c r="J13" s="57">
        <v>8546</v>
      </c>
      <c r="K13" s="44">
        <f t="shared" si="0"/>
        <v>130113</v>
      </c>
      <c r="L13" s="58">
        <v>-205512</v>
      </c>
      <c r="M13" s="49">
        <v>0</v>
      </c>
      <c r="N13" s="48">
        <f t="shared" si="2"/>
        <v>-205512</v>
      </c>
      <c r="O13" s="55">
        <v>0</v>
      </c>
      <c r="P13" s="50">
        <v>0</v>
      </c>
      <c r="Q13" s="48">
        <f t="shared" si="3"/>
        <v>0</v>
      </c>
    </row>
    <row r="14" spans="1:17" s="39" customFormat="1" ht="11.25" customHeight="1" x14ac:dyDescent="0.2">
      <c r="A14" s="52" t="s">
        <v>48</v>
      </c>
      <c r="B14" s="53">
        <v>11</v>
      </c>
      <c r="C14" s="53">
        <v>0</v>
      </c>
      <c r="D14" s="54">
        <v>25</v>
      </c>
      <c r="E14" s="55">
        <v>0</v>
      </c>
      <c r="F14" s="55">
        <v>0</v>
      </c>
      <c r="G14" s="55">
        <v>116028</v>
      </c>
      <c r="H14" s="44">
        <f t="shared" si="1"/>
        <v>116028</v>
      </c>
      <c r="I14" s="56">
        <v>0</v>
      </c>
      <c r="J14" s="57">
        <v>1132607</v>
      </c>
      <c r="K14" s="44">
        <f t="shared" si="0"/>
        <v>1248635</v>
      </c>
      <c r="L14" s="58">
        <v>-43125</v>
      </c>
      <c r="M14" s="49">
        <v>0</v>
      </c>
      <c r="N14" s="48">
        <f t="shared" si="2"/>
        <v>-43125</v>
      </c>
      <c r="O14" s="55">
        <v>0</v>
      </c>
      <c r="P14" s="50">
        <v>0</v>
      </c>
      <c r="Q14" s="48">
        <f t="shared" si="3"/>
        <v>0</v>
      </c>
    </row>
    <row r="15" spans="1:17" s="51" customFormat="1" ht="14.1" customHeight="1" x14ac:dyDescent="0.2">
      <c r="A15" s="59" t="s">
        <v>49</v>
      </c>
      <c r="B15" s="60">
        <f t="shared" ref="B15:J15" si="4">SUM(B6:B14)</f>
        <v>12</v>
      </c>
      <c r="C15" s="60">
        <f t="shared" si="4"/>
        <v>0</v>
      </c>
      <c r="D15" s="60">
        <f t="shared" si="4"/>
        <v>143.5</v>
      </c>
      <c r="E15" s="61">
        <f t="shared" si="4"/>
        <v>3282500</v>
      </c>
      <c r="F15" s="61">
        <f t="shared" si="4"/>
        <v>350355</v>
      </c>
      <c r="G15" s="62">
        <f t="shared" si="4"/>
        <v>452757</v>
      </c>
      <c r="H15" s="63">
        <f t="shared" si="4"/>
        <v>4085612</v>
      </c>
      <c r="I15" s="64">
        <f t="shared" si="4"/>
        <v>816513</v>
      </c>
      <c r="J15" s="65">
        <f t="shared" si="4"/>
        <v>3203406</v>
      </c>
      <c r="K15" s="63">
        <f t="shared" si="0"/>
        <v>8105531</v>
      </c>
      <c r="L15" s="66">
        <f>SUM(L6:L14)</f>
        <v>849090</v>
      </c>
      <c r="M15" s="61">
        <f>SUM(M6:M14)</f>
        <v>357161</v>
      </c>
      <c r="N15" s="63">
        <f>SUM(L15:M15)</f>
        <v>1206251</v>
      </c>
      <c r="O15" s="66">
        <f>SUM(O6:O14)</f>
        <v>468000</v>
      </c>
      <c r="P15" s="61">
        <f>SUM(P6:P14)</f>
        <v>74485</v>
      </c>
      <c r="Q15" s="63">
        <f>SUM(O15:P15)</f>
        <v>542485</v>
      </c>
    </row>
    <row r="16" spans="1:17" s="39" customFormat="1" ht="29.25" customHeight="1" x14ac:dyDescent="0.2">
      <c r="A16" s="67" t="s">
        <v>0</v>
      </c>
      <c r="B16" s="68"/>
      <c r="C16" s="68"/>
      <c r="D16" s="68"/>
      <c r="E16" s="69"/>
      <c r="F16" s="69"/>
      <c r="G16" s="70"/>
      <c r="H16" s="71"/>
      <c r="I16" s="72"/>
      <c r="J16" s="73"/>
      <c r="K16" s="74"/>
      <c r="L16" s="75"/>
      <c r="M16" s="76"/>
      <c r="N16" s="77"/>
      <c r="O16" s="78"/>
      <c r="P16" s="79"/>
      <c r="Q16" s="80"/>
    </row>
    <row r="17" spans="1:18" s="39" customFormat="1" ht="11.25" x14ac:dyDescent="0.2">
      <c r="A17" s="52" t="s">
        <v>1</v>
      </c>
      <c r="B17" s="53">
        <v>15.33</v>
      </c>
      <c r="C17" s="53">
        <v>2</v>
      </c>
      <c r="D17" s="54">
        <v>1</v>
      </c>
      <c r="E17" s="139"/>
      <c r="F17" s="55"/>
      <c r="G17" s="82"/>
      <c r="H17" s="83">
        <f>E17+F17+G17</f>
        <v>0</v>
      </c>
      <c r="I17" s="56"/>
      <c r="J17" s="140">
        <v>49651.210000000006</v>
      </c>
      <c r="K17" s="44">
        <f t="shared" ref="K17:K21" si="5">SUM(H17:J17)</f>
        <v>49651.210000000006</v>
      </c>
      <c r="L17" s="84">
        <v>21926</v>
      </c>
      <c r="M17" s="49">
        <v>24882</v>
      </c>
      <c r="N17" s="48">
        <f t="shared" ref="N17:N22" si="6">SUM(L17:M17)</f>
        <v>46808</v>
      </c>
      <c r="O17" s="49">
        <v>84994</v>
      </c>
      <c r="P17" s="50">
        <v>67148</v>
      </c>
      <c r="Q17" s="48">
        <f t="shared" ref="Q17:Q22" si="7">SUM(O17:P17)</f>
        <v>152142</v>
      </c>
    </row>
    <row r="18" spans="1:18" s="39" customFormat="1" ht="11.25" x14ac:dyDescent="0.2">
      <c r="A18" s="52" t="s">
        <v>2</v>
      </c>
      <c r="B18" s="53">
        <v>11.18</v>
      </c>
      <c r="C18" s="53">
        <v>6</v>
      </c>
      <c r="D18" s="54">
        <v>1</v>
      </c>
      <c r="E18" s="139"/>
      <c r="F18" s="55"/>
      <c r="G18" s="82"/>
      <c r="H18" s="83">
        <f t="shared" ref="H18:H22" si="8">E18+F18+G18</f>
        <v>0</v>
      </c>
      <c r="I18" s="56"/>
      <c r="J18" s="140">
        <v>44262.69</v>
      </c>
      <c r="K18" s="44">
        <f t="shared" si="5"/>
        <v>44262.69</v>
      </c>
      <c r="L18" s="84">
        <v>104665</v>
      </c>
      <c r="M18" s="49">
        <v>20313</v>
      </c>
      <c r="N18" s="48">
        <f t="shared" si="6"/>
        <v>124978</v>
      </c>
      <c r="O18" s="49">
        <v>29328</v>
      </c>
      <c r="P18" s="50">
        <v>51089</v>
      </c>
      <c r="Q18" s="48">
        <f t="shared" si="7"/>
        <v>80417</v>
      </c>
    </row>
    <row r="19" spans="1:18" s="39" customFormat="1" ht="11.25" x14ac:dyDescent="0.2">
      <c r="A19" s="52" t="s">
        <v>3</v>
      </c>
      <c r="B19" s="53">
        <v>4.33</v>
      </c>
      <c r="C19" s="53"/>
      <c r="D19" s="54">
        <v>1</v>
      </c>
      <c r="E19" s="141"/>
      <c r="F19" s="55"/>
      <c r="G19" s="82"/>
      <c r="H19" s="83">
        <f t="shared" si="8"/>
        <v>0</v>
      </c>
      <c r="I19" s="56"/>
      <c r="J19" s="140">
        <v>16088.52</v>
      </c>
      <c r="K19" s="44">
        <f t="shared" si="5"/>
        <v>16088.52</v>
      </c>
      <c r="L19" s="84">
        <v>3236</v>
      </c>
      <c r="M19" s="49">
        <v>9003</v>
      </c>
      <c r="N19" s="48">
        <f t="shared" si="6"/>
        <v>12239</v>
      </c>
      <c r="O19" s="55">
        <v>7653</v>
      </c>
      <c r="P19" s="50">
        <v>34008</v>
      </c>
      <c r="Q19" s="48">
        <f t="shared" si="7"/>
        <v>41661</v>
      </c>
    </row>
    <row r="20" spans="1:18" s="39" customFormat="1" ht="11.25" x14ac:dyDescent="0.2">
      <c r="A20" s="52" t="s">
        <v>4</v>
      </c>
      <c r="B20" s="53">
        <v>7.33</v>
      </c>
      <c r="C20" s="53">
        <v>1</v>
      </c>
      <c r="D20" s="54">
        <v>1</v>
      </c>
      <c r="E20" s="141"/>
      <c r="F20" s="55"/>
      <c r="G20" s="82"/>
      <c r="H20" s="83">
        <f t="shared" si="8"/>
        <v>0</v>
      </c>
      <c r="I20" s="56"/>
      <c r="J20" s="140">
        <v>20168.43</v>
      </c>
      <c r="K20" s="44">
        <f t="shared" si="5"/>
        <v>20168.43</v>
      </c>
      <c r="L20" s="84">
        <v>50311</v>
      </c>
      <c r="M20" s="49">
        <v>5430</v>
      </c>
      <c r="N20" s="48">
        <f t="shared" si="6"/>
        <v>55741</v>
      </c>
      <c r="O20" s="55">
        <v>15522</v>
      </c>
      <c r="P20" s="50">
        <v>4059</v>
      </c>
      <c r="Q20" s="48">
        <f t="shared" si="7"/>
        <v>19581</v>
      </c>
    </row>
    <row r="21" spans="1:18" s="39" customFormat="1" ht="11.25" x14ac:dyDescent="0.2">
      <c r="A21" s="52" t="s">
        <v>37</v>
      </c>
      <c r="B21" s="53">
        <v>11.33</v>
      </c>
      <c r="C21" s="53">
        <v>1</v>
      </c>
      <c r="D21" s="54">
        <v>1</v>
      </c>
      <c r="E21" s="139"/>
      <c r="F21" s="55"/>
      <c r="G21" s="82"/>
      <c r="H21" s="83">
        <f t="shared" si="8"/>
        <v>0</v>
      </c>
      <c r="I21" s="56"/>
      <c r="J21" s="140">
        <v>30329.15</v>
      </c>
      <c r="K21" s="44">
        <f t="shared" si="5"/>
        <v>30329.15</v>
      </c>
      <c r="L21" s="84">
        <v>215515</v>
      </c>
      <c r="M21" s="49">
        <v>9090</v>
      </c>
      <c r="N21" s="48">
        <f t="shared" si="6"/>
        <v>224605</v>
      </c>
      <c r="O21" s="55">
        <v>27420</v>
      </c>
      <c r="P21" s="50">
        <v>18243</v>
      </c>
      <c r="Q21" s="48">
        <f t="shared" si="7"/>
        <v>45663</v>
      </c>
    </row>
    <row r="22" spans="1:18" s="39" customFormat="1" ht="11.25" x14ac:dyDescent="0.2">
      <c r="A22" s="52" t="s">
        <v>6</v>
      </c>
      <c r="B22" s="53"/>
      <c r="C22" s="53"/>
      <c r="D22" s="54">
        <v>18</v>
      </c>
      <c r="E22" s="81">
        <v>373231</v>
      </c>
      <c r="F22" s="55"/>
      <c r="G22" s="82"/>
      <c r="H22" s="83">
        <f t="shared" si="8"/>
        <v>373231</v>
      </c>
      <c r="I22" s="56"/>
      <c r="J22" s="140">
        <v>39500</v>
      </c>
      <c r="K22" s="44">
        <f>SUM(H22:J22)</f>
        <v>412731</v>
      </c>
      <c r="L22" s="84">
        <v>0</v>
      </c>
      <c r="M22" s="49">
        <v>86747</v>
      </c>
      <c r="N22" s="48">
        <f t="shared" si="6"/>
        <v>86747</v>
      </c>
      <c r="O22" s="55">
        <v>223697</v>
      </c>
      <c r="P22" s="50">
        <v>715098</v>
      </c>
      <c r="Q22" s="48">
        <f t="shared" si="7"/>
        <v>938795</v>
      </c>
    </row>
    <row r="23" spans="1:18" s="51" customFormat="1" ht="14.1" customHeight="1" x14ac:dyDescent="0.2">
      <c r="A23" s="59" t="s">
        <v>49</v>
      </c>
      <c r="B23" s="60">
        <f t="shared" ref="B23:I23" si="9">SUM(B17:B22)</f>
        <v>49.499999999999993</v>
      </c>
      <c r="C23" s="60">
        <f t="shared" si="9"/>
        <v>10</v>
      </c>
      <c r="D23" s="60">
        <f t="shared" si="9"/>
        <v>23</v>
      </c>
      <c r="E23" s="61">
        <f t="shared" si="9"/>
        <v>373231</v>
      </c>
      <c r="F23" s="61">
        <f t="shared" si="9"/>
        <v>0</v>
      </c>
      <c r="G23" s="62">
        <f t="shared" si="9"/>
        <v>0</v>
      </c>
      <c r="H23" s="63">
        <f t="shared" si="9"/>
        <v>373231</v>
      </c>
      <c r="I23" s="64">
        <f t="shared" si="9"/>
        <v>0</v>
      </c>
      <c r="J23" s="65">
        <f>SUM(J17:J22)</f>
        <v>200000</v>
      </c>
      <c r="K23" s="63">
        <f>SUM(H23:J23)</f>
        <v>573231</v>
      </c>
      <c r="L23" s="155">
        <f>SUM(L17:L22)</f>
        <v>395653</v>
      </c>
      <c r="M23" s="156">
        <f>SUM(M17:M22)</f>
        <v>155465</v>
      </c>
      <c r="N23" s="63">
        <f>SUM(L23:M23)</f>
        <v>551118</v>
      </c>
      <c r="O23" s="155">
        <f>SUM(O17:O22)</f>
        <v>388614</v>
      </c>
      <c r="P23" s="156">
        <f>SUM(P17:P22)</f>
        <v>889645</v>
      </c>
      <c r="Q23" s="63">
        <f>SUM(O23:P23)</f>
        <v>1278259</v>
      </c>
    </row>
    <row r="24" spans="1:18" s="150" customFormat="1" ht="30" customHeight="1" x14ac:dyDescent="0.2">
      <c r="A24" s="67" t="s">
        <v>5</v>
      </c>
      <c r="B24" s="68"/>
      <c r="C24" s="68"/>
      <c r="D24" s="68"/>
      <c r="E24" s="69"/>
      <c r="F24" s="69"/>
      <c r="G24" s="70"/>
      <c r="H24" s="71"/>
      <c r="I24" s="72"/>
      <c r="J24" s="73"/>
      <c r="K24" s="74"/>
      <c r="L24" s="75"/>
      <c r="M24" s="76"/>
      <c r="N24" s="77"/>
      <c r="O24" s="78"/>
      <c r="P24" s="79"/>
      <c r="Q24" s="80"/>
    </row>
    <row r="25" spans="1:18" s="150" customFormat="1" ht="11.25" x14ac:dyDescent="0.2">
      <c r="A25" s="85" t="s">
        <v>74</v>
      </c>
      <c r="B25" s="116">
        <v>2</v>
      </c>
      <c r="C25" s="116">
        <v>0</v>
      </c>
      <c r="D25" s="114">
        <v>1</v>
      </c>
      <c r="E25" s="49">
        <v>0</v>
      </c>
      <c r="F25" s="49">
        <v>0</v>
      </c>
      <c r="G25" s="50">
        <v>0</v>
      </c>
      <c r="H25" s="48">
        <f>E25+F25+G25</f>
        <v>0</v>
      </c>
      <c r="I25" s="86">
        <v>0</v>
      </c>
      <c r="J25" s="87">
        <v>0</v>
      </c>
      <c r="K25" s="44">
        <v>0</v>
      </c>
      <c r="L25" s="84">
        <v>0</v>
      </c>
      <c r="M25" s="49">
        <v>0</v>
      </c>
      <c r="N25" s="48">
        <f t="shared" ref="N25:N30" si="10">SUM(L25:M25)</f>
        <v>0</v>
      </c>
      <c r="O25" s="49">
        <v>5500</v>
      </c>
      <c r="P25" s="50">
        <v>0</v>
      </c>
      <c r="Q25" s="48">
        <f t="shared" ref="Q25:Q30" si="11">SUM(O25:P25)</f>
        <v>5500</v>
      </c>
      <c r="R25" s="150" t="s">
        <v>87</v>
      </c>
    </row>
    <row r="26" spans="1:18" s="150" customFormat="1" ht="11.25" x14ac:dyDescent="0.2">
      <c r="A26" s="85" t="s">
        <v>75</v>
      </c>
      <c r="B26" s="116">
        <v>7.83</v>
      </c>
      <c r="C26" s="116">
        <v>2</v>
      </c>
      <c r="D26" s="114">
        <v>2</v>
      </c>
      <c r="E26" s="49">
        <v>80484</v>
      </c>
      <c r="F26" s="49">
        <v>0</v>
      </c>
      <c r="G26" s="50">
        <v>0</v>
      </c>
      <c r="H26" s="48">
        <f>E26+F26+G26</f>
        <v>80484</v>
      </c>
      <c r="I26" s="86">
        <v>0</v>
      </c>
      <c r="J26" s="87">
        <v>15437</v>
      </c>
      <c r="K26" s="44">
        <f>SUM(H26:J26)</f>
        <v>95921</v>
      </c>
      <c r="L26" s="84">
        <v>11189.56</v>
      </c>
      <c r="M26" s="49">
        <v>1000</v>
      </c>
      <c r="N26" s="48">
        <f t="shared" si="10"/>
        <v>12189.56</v>
      </c>
      <c r="O26" s="49">
        <v>57210.74</v>
      </c>
      <c r="P26" s="50">
        <v>25431.86</v>
      </c>
      <c r="Q26" s="48">
        <f t="shared" si="11"/>
        <v>82642.600000000006</v>
      </c>
    </row>
    <row r="27" spans="1:18" s="150" customFormat="1" ht="11.25" x14ac:dyDescent="0.2">
      <c r="A27" s="85" t="s">
        <v>76</v>
      </c>
      <c r="B27" s="116">
        <v>14.83</v>
      </c>
      <c r="C27" s="116">
        <v>2</v>
      </c>
      <c r="D27" s="114">
        <v>2</v>
      </c>
      <c r="E27" s="49">
        <v>331003</v>
      </c>
      <c r="F27" s="49">
        <v>0</v>
      </c>
      <c r="G27" s="50">
        <v>0</v>
      </c>
      <c r="H27" s="48">
        <f t="shared" ref="H27:H29" si="12">E27+F27+G27</f>
        <v>331003</v>
      </c>
      <c r="I27" s="86">
        <v>0</v>
      </c>
      <c r="J27" s="87">
        <v>43586</v>
      </c>
      <c r="K27" s="44">
        <f t="shared" ref="K27:K30" si="13">SUM(H27:J27)</f>
        <v>374589</v>
      </c>
      <c r="L27" s="84">
        <v>4861.79</v>
      </c>
      <c r="M27" s="49">
        <v>4560.43</v>
      </c>
      <c r="N27" s="48">
        <f t="shared" si="10"/>
        <v>9422.2200000000012</v>
      </c>
      <c r="O27" s="49">
        <v>74947.88</v>
      </c>
      <c r="P27" s="50">
        <v>18528.16</v>
      </c>
      <c r="Q27" s="48">
        <f t="shared" si="11"/>
        <v>93476.040000000008</v>
      </c>
    </row>
    <row r="28" spans="1:18" s="150" customFormat="1" ht="11.25" x14ac:dyDescent="0.2">
      <c r="A28" s="85" t="s">
        <v>77</v>
      </c>
      <c r="B28" s="116">
        <v>0</v>
      </c>
      <c r="C28" s="116">
        <v>0</v>
      </c>
      <c r="D28" s="114">
        <v>12</v>
      </c>
      <c r="E28" s="49">
        <v>0</v>
      </c>
      <c r="F28" s="49">
        <v>0</v>
      </c>
      <c r="G28" s="50">
        <v>0</v>
      </c>
      <c r="H28" s="48">
        <f t="shared" si="12"/>
        <v>0</v>
      </c>
      <c r="I28" s="86">
        <v>0</v>
      </c>
      <c r="J28" s="87">
        <v>70000</v>
      </c>
      <c r="K28" s="44">
        <f t="shared" si="13"/>
        <v>70000</v>
      </c>
      <c r="L28" s="84">
        <v>0</v>
      </c>
      <c r="M28" s="49">
        <v>0</v>
      </c>
      <c r="N28" s="48">
        <f t="shared" si="10"/>
        <v>0</v>
      </c>
      <c r="O28" s="49">
        <v>0</v>
      </c>
      <c r="P28" s="50">
        <v>0</v>
      </c>
      <c r="Q28" s="48">
        <f t="shared" si="11"/>
        <v>0</v>
      </c>
    </row>
    <row r="29" spans="1:18" s="150" customFormat="1" ht="11.25" x14ac:dyDescent="0.2">
      <c r="A29" s="85" t="s">
        <v>78</v>
      </c>
      <c r="B29" s="116">
        <v>19.989999999999998</v>
      </c>
      <c r="C29" s="116">
        <v>1</v>
      </c>
      <c r="D29" s="114">
        <v>2</v>
      </c>
      <c r="E29" s="49">
        <v>443457</v>
      </c>
      <c r="F29" s="49">
        <v>0</v>
      </c>
      <c r="G29" s="50">
        <v>0</v>
      </c>
      <c r="H29" s="48">
        <f t="shared" si="12"/>
        <v>443457</v>
      </c>
      <c r="I29" s="86">
        <v>0</v>
      </c>
      <c r="J29" s="87">
        <v>54224</v>
      </c>
      <c r="K29" s="44">
        <f t="shared" si="13"/>
        <v>497681</v>
      </c>
      <c r="L29" s="84">
        <v>0</v>
      </c>
      <c r="M29" s="49">
        <f>10396.1+598.25</f>
        <v>10994.35</v>
      </c>
      <c r="N29" s="48">
        <f t="shared" si="10"/>
        <v>10994.35</v>
      </c>
      <c r="O29" s="49">
        <v>148045.82999999999</v>
      </c>
      <c r="P29" s="50">
        <v>49766.35</v>
      </c>
      <c r="Q29" s="48">
        <f t="shared" si="11"/>
        <v>197812.18</v>
      </c>
    </row>
    <row r="30" spans="1:18" s="150" customFormat="1" ht="11.25" x14ac:dyDescent="0.2">
      <c r="A30" s="85" t="s">
        <v>79</v>
      </c>
      <c r="B30" s="116">
        <v>0</v>
      </c>
      <c r="C30" s="116">
        <v>0</v>
      </c>
      <c r="D30" s="114">
        <v>12</v>
      </c>
      <c r="E30" s="49">
        <v>0</v>
      </c>
      <c r="F30" s="49">
        <v>0</v>
      </c>
      <c r="G30" s="50">
        <v>4571</v>
      </c>
      <c r="H30" s="48">
        <f>SUM(E30:G30)</f>
        <v>4571</v>
      </c>
      <c r="I30" s="86">
        <v>0</v>
      </c>
      <c r="J30" s="87">
        <v>220036</v>
      </c>
      <c r="K30" s="44">
        <f t="shared" si="13"/>
        <v>224607</v>
      </c>
      <c r="L30" s="84">
        <v>11835.02</v>
      </c>
      <c r="M30" s="49">
        <v>16554.78</v>
      </c>
      <c r="N30" s="48">
        <f t="shared" si="10"/>
        <v>28389.8</v>
      </c>
      <c r="O30" s="49">
        <v>793666.69</v>
      </c>
      <c r="P30" s="50">
        <v>40061.18</v>
      </c>
      <c r="Q30" s="48">
        <f t="shared" si="11"/>
        <v>833727.87</v>
      </c>
    </row>
    <row r="31" spans="1:18" s="51" customFormat="1" ht="14.1" customHeight="1" x14ac:dyDescent="0.2">
      <c r="A31" s="88" t="s">
        <v>49</v>
      </c>
      <c r="B31" s="60">
        <f t="shared" ref="B31:J31" si="14">SUM(B25:B30)</f>
        <v>44.65</v>
      </c>
      <c r="C31" s="60">
        <f t="shared" si="14"/>
        <v>5</v>
      </c>
      <c r="D31" s="60">
        <f t="shared" si="14"/>
        <v>31</v>
      </c>
      <c r="E31" s="61">
        <f t="shared" si="14"/>
        <v>854944</v>
      </c>
      <c r="F31" s="61">
        <f t="shared" si="14"/>
        <v>0</v>
      </c>
      <c r="G31" s="62">
        <f t="shared" si="14"/>
        <v>4571</v>
      </c>
      <c r="H31" s="63">
        <f t="shared" si="14"/>
        <v>859515</v>
      </c>
      <c r="I31" s="64">
        <f t="shared" si="14"/>
        <v>0</v>
      </c>
      <c r="J31" s="65">
        <f t="shared" si="14"/>
        <v>403283</v>
      </c>
      <c r="K31" s="63">
        <f>SUM(H31:J31)</f>
        <v>1262798</v>
      </c>
      <c r="L31" s="66">
        <f>SUM(L25:L30)</f>
        <v>27886.37</v>
      </c>
      <c r="M31" s="61">
        <f>SUM(M25:M30)</f>
        <v>33109.56</v>
      </c>
      <c r="N31" s="63">
        <f>SUM(L31:M31)</f>
        <v>60995.929999999993</v>
      </c>
      <c r="O31" s="66">
        <f>SUM(O25:O30)</f>
        <v>1079371.1399999999</v>
      </c>
      <c r="P31" s="61">
        <f>SUM(P25:P30)</f>
        <v>133787.54999999999</v>
      </c>
      <c r="Q31" s="63">
        <f>SUM(O31:P31)</f>
        <v>1213158.69</v>
      </c>
    </row>
    <row r="32" spans="1:18" s="158" customFormat="1" ht="30" customHeight="1" x14ac:dyDescent="0.2">
      <c r="A32" s="24" t="s">
        <v>38</v>
      </c>
      <c r="B32" s="68"/>
      <c r="C32" s="68"/>
      <c r="D32" s="68"/>
      <c r="E32" s="69"/>
      <c r="F32" s="69"/>
      <c r="G32" s="70"/>
      <c r="H32" s="71"/>
      <c r="I32" s="72"/>
      <c r="J32" s="73"/>
      <c r="K32" s="74"/>
      <c r="L32" s="75"/>
      <c r="M32" s="110"/>
      <c r="N32" s="77"/>
      <c r="O32" s="78"/>
      <c r="P32" s="79"/>
      <c r="Q32" s="80"/>
    </row>
    <row r="33" spans="1:22" s="158" customFormat="1" ht="11.25" x14ac:dyDescent="0.2">
      <c r="A33" s="85" t="s">
        <v>7</v>
      </c>
      <c r="B33" s="53">
        <v>11.5</v>
      </c>
      <c r="C33" s="53"/>
      <c r="D33" s="114">
        <v>4.2</v>
      </c>
      <c r="E33" s="55">
        <v>192467</v>
      </c>
      <c r="F33" s="152"/>
      <c r="G33" s="55"/>
      <c r="H33" s="83">
        <f>E33+F33+G33</f>
        <v>192467</v>
      </c>
      <c r="I33" s="56"/>
      <c r="J33" s="115">
        <v>17625</v>
      </c>
      <c r="K33" s="44">
        <f>SUM(H33:J33)</f>
        <v>210092</v>
      </c>
      <c r="L33" s="84">
        <v>8553</v>
      </c>
      <c r="M33" s="111">
        <v>4847.93</v>
      </c>
      <c r="N33" s="48">
        <f t="shared" ref="N33:N36" si="15">SUM(L33:M33)</f>
        <v>13400.93</v>
      </c>
      <c r="O33" s="49"/>
      <c r="P33" s="50"/>
      <c r="Q33" s="48">
        <f>SUM(O33:P33)</f>
        <v>0</v>
      </c>
      <c r="R33" s="51"/>
      <c r="S33" s="51"/>
      <c r="T33" s="51"/>
    </row>
    <row r="34" spans="1:22" s="158" customFormat="1" ht="11.25" x14ac:dyDescent="0.2">
      <c r="A34" s="85" t="s">
        <v>8</v>
      </c>
      <c r="B34" s="116">
        <v>16.5</v>
      </c>
      <c r="C34" s="53">
        <v>3</v>
      </c>
      <c r="D34" s="54">
        <v>2</v>
      </c>
      <c r="E34" s="55">
        <v>325142</v>
      </c>
      <c r="F34" s="55"/>
      <c r="G34" s="55"/>
      <c r="H34" s="83">
        <f t="shared" ref="H34:H43" si="16">E34+F34+G34</f>
        <v>325142</v>
      </c>
      <c r="I34" s="56"/>
      <c r="J34" s="115">
        <v>26715</v>
      </c>
      <c r="K34" s="44">
        <f>SUM(H34:J34)</f>
        <v>351857</v>
      </c>
      <c r="L34" s="84">
        <v>17203</v>
      </c>
      <c r="M34" s="111">
        <v>11372.71</v>
      </c>
      <c r="N34" s="48">
        <f t="shared" si="15"/>
        <v>28575.71</v>
      </c>
      <c r="O34" s="49"/>
      <c r="P34" s="50">
        <v>26966.5</v>
      </c>
      <c r="Q34" s="48">
        <f t="shared" ref="Q34:Q43" si="17">SUM(O34:P34)</f>
        <v>26966.5</v>
      </c>
    </row>
    <row r="35" spans="1:22" s="158" customFormat="1" ht="11.25" x14ac:dyDescent="0.2">
      <c r="A35" s="85" t="s">
        <v>9</v>
      </c>
      <c r="B35" s="116">
        <v>25.5</v>
      </c>
      <c r="C35" s="53">
        <v>2</v>
      </c>
      <c r="D35" s="54">
        <v>2</v>
      </c>
      <c r="E35" s="55">
        <v>513953</v>
      </c>
      <c r="F35" s="55"/>
      <c r="G35" s="55"/>
      <c r="H35" s="83">
        <f t="shared" si="16"/>
        <v>513953</v>
      </c>
      <c r="I35" s="56"/>
      <c r="J35" s="115">
        <v>41679</v>
      </c>
      <c r="K35" s="44">
        <f t="shared" ref="K35:K42" si="18">SUM(H35:J35)</f>
        <v>555632</v>
      </c>
      <c r="L35" s="84">
        <v>22307</v>
      </c>
      <c r="M35" s="111">
        <v>10063.209999999999</v>
      </c>
      <c r="N35" s="48">
        <f t="shared" si="15"/>
        <v>32370.21</v>
      </c>
      <c r="O35" s="49"/>
      <c r="P35" s="50">
        <v>42909.8</v>
      </c>
      <c r="Q35" s="48">
        <f t="shared" si="17"/>
        <v>42909.8</v>
      </c>
    </row>
    <row r="36" spans="1:22" s="158" customFormat="1" ht="11.25" x14ac:dyDescent="0.2">
      <c r="A36" s="85" t="s">
        <v>50</v>
      </c>
      <c r="B36" s="53">
        <v>15.5</v>
      </c>
      <c r="C36" s="53">
        <v>1</v>
      </c>
      <c r="D36" s="54">
        <v>2</v>
      </c>
      <c r="E36" s="55">
        <v>270044</v>
      </c>
      <c r="F36" s="55"/>
      <c r="G36" s="55"/>
      <c r="H36" s="83">
        <f t="shared" si="16"/>
        <v>270044</v>
      </c>
      <c r="I36" s="56"/>
      <c r="J36" s="115">
        <v>22818</v>
      </c>
      <c r="K36" s="44">
        <f t="shared" si="18"/>
        <v>292862</v>
      </c>
      <c r="L36" s="84">
        <v>-2717</v>
      </c>
      <c r="M36" s="111">
        <v>3724.4</v>
      </c>
      <c r="N36" s="48">
        <f t="shared" si="15"/>
        <v>1007.4000000000001</v>
      </c>
      <c r="O36" s="49"/>
      <c r="P36" s="50">
        <f>19189.43+35513.32</f>
        <v>54702.75</v>
      </c>
      <c r="Q36" s="48">
        <f t="shared" si="17"/>
        <v>54702.75</v>
      </c>
    </row>
    <row r="37" spans="1:22" s="158" customFormat="1" ht="11.25" x14ac:dyDescent="0.2">
      <c r="A37" s="89" t="s">
        <v>51</v>
      </c>
      <c r="B37" s="90"/>
      <c r="C37" s="90"/>
      <c r="D37" s="91"/>
      <c r="E37" s="92">
        <v>160974</v>
      </c>
      <c r="F37" s="92"/>
      <c r="G37" s="92"/>
      <c r="H37" s="93">
        <f t="shared" si="16"/>
        <v>160974</v>
      </c>
      <c r="I37" s="94"/>
      <c r="J37" s="112">
        <v>4239</v>
      </c>
      <c r="K37" s="96">
        <f>SUM(I37:J37)</f>
        <v>4239</v>
      </c>
      <c r="L37" s="97"/>
      <c r="M37" s="112">
        <v>21904</v>
      </c>
      <c r="N37" s="93">
        <f>SUM(L37:M37)</f>
        <v>21904</v>
      </c>
      <c r="O37" s="92"/>
      <c r="P37" s="98">
        <v>1337.94</v>
      </c>
      <c r="Q37" s="93">
        <f t="shared" si="17"/>
        <v>1337.94</v>
      </c>
    </row>
    <row r="38" spans="1:22" s="158" customFormat="1" ht="11.25" x14ac:dyDescent="0.2">
      <c r="A38" s="85" t="s">
        <v>10</v>
      </c>
      <c r="B38" s="53"/>
      <c r="C38" s="53">
        <v>1</v>
      </c>
      <c r="D38" s="54">
        <v>1</v>
      </c>
      <c r="E38" s="55"/>
      <c r="F38" s="55"/>
      <c r="G38" s="55"/>
      <c r="H38" s="83">
        <f t="shared" si="16"/>
        <v>0</v>
      </c>
      <c r="I38" s="56"/>
      <c r="J38" s="115">
        <v>4000</v>
      </c>
      <c r="K38" s="44">
        <f t="shared" si="18"/>
        <v>4000</v>
      </c>
      <c r="L38" s="84">
        <v>-696</v>
      </c>
      <c r="M38" s="111"/>
      <c r="N38" s="48">
        <f t="shared" ref="N38:N43" si="19">SUM(L38:M38)</f>
        <v>-696</v>
      </c>
      <c r="O38" s="49"/>
      <c r="P38" s="50"/>
      <c r="Q38" s="48">
        <f t="shared" si="17"/>
        <v>0</v>
      </c>
    </row>
    <row r="39" spans="1:22" s="158" customFormat="1" ht="11.25" x14ac:dyDescent="0.2">
      <c r="A39" s="85" t="s">
        <v>11</v>
      </c>
      <c r="B39" s="53">
        <v>6.5</v>
      </c>
      <c r="C39" s="53">
        <v>1</v>
      </c>
      <c r="D39" s="54">
        <v>4</v>
      </c>
      <c r="E39" s="55">
        <v>108126</v>
      </c>
      <c r="F39" s="55"/>
      <c r="G39" s="55"/>
      <c r="H39" s="83">
        <f t="shared" si="16"/>
        <v>108126</v>
      </c>
      <c r="I39" s="56"/>
      <c r="J39" s="115">
        <v>8446</v>
      </c>
      <c r="K39" s="44">
        <f t="shared" si="18"/>
        <v>116572</v>
      </c>
      <c r="L39" s="84">
        <v>7565</v>
      </c>
      <c r="M39" s="111">
        <v>1064.32</v>
      </c>
      <c r="N39" s="48">
        <f t="shared" si="19"/>
        <v>8629.32</v>
      </c>
      <c r="O39" s="49"/>
      <c r="P39" s="50">
        <v>3996.71</v>
      </c>
      <c r="Q39" s="48">
        <f t="shared" si="17"/>
        <v>3996.71</v>
      </c>
    </row>
    <row r="40" spans="1:22" s="158" customFormat="1" ht="11.25" x14ac:dyDescent="0.2">
      <c r="A40" s="85" t="s">
        <v>12</v>
      </c>
      <c r="B40" s="53">
        <v>6</v>
      </c>
      <c r="C40" s="53">
        <v>1</v>
      </c>
      <c r="D40" s="54">
        <v>1</v>
      </c>
      <c r="E40" s="55">
        <v>134223</v>
      </c>
      <c r="F40" s="55"/>
      <c r="G40" s="55"/>
      <c r="H40" s="83">
        <f t="shared" si="16"/>
        <v>134223</v>
      </c>
      <c r="I40" s="56"/>
      <c r="J40" s="115">
        <v>10436</v>
      </c>
      <c r="K40" s="44">
        <f t="shared" si="18"/>
        <v>144659</v>
      </c>
      <c r="L40" s="84">
        <v>3198</v>
      </c>
      <c r="M40" s="111">
        <v>8810.5</v>
      </c>
      <c r="N40" s="48">
        <f t="shared" si="19"/>
        <v>12008.5</v>
      </c>
      <c r="O40" s="49"/>
      <c r="P40" s="50">
        <v>6334.35</v>
      </c>
      <c r="Q40" s="48">
        <f t="shared" si="17"/>
        <v>6334.35</v>
      </c>
    </row>
    <row r="41" spans="1:22" s="158" customFormat="1" ht="11.25" x14ac:dyDescent="0.2">
      <c r="A41" s="85" t="s">
        <v>13</v>
      </c>
      <c r="B41" s="53">
        <v>6.5</v>
      </c>
      <c r="C41" s="53">
        <v>1</v>
      </c>
      <c r="D41" s="54">
        <v>5</v>
      </c>
      <c r="E41" s="55">
        <v>130787</v>
      </c>
      <c r="F41" s="55"/>
      <c r="G41" s="55"/>
      <c r="H41" s="83">
        <f t="shared" si="16"/>
        <v>130787</v>
      </c>
      <c r="I41" s="56"/>
      <c r="J41" s="115">
        <v>8043</v>
      </c>
      <c r="K41" s="44">
        <f t="shared" si="18"/>
        <v>138830</v>
      </c>
      <c r="L41" s="84">
        <v>2351</v>
      </c>
      <c r="M41" s="111"/>
      <c r="N41" s="48">
        <f t="shared" si="19"/>
        <v>2351</v>
      </c>
      <c r="O41" s="49"/>
      <c r="P41" s="50">
        <v>2972.4</v>
      </c>
      <c r="Q41" s="48">
        <f t="shared" si="17"/>
        <v>2972.4</v>
      </c>
    </row>
    <row r="42" spans="1:22" s="158" customFormat="1" ht="11.25" x14ac:dyDescent="0.2">
      <c r="A42" s="85" t="s">
        <v>14</v>
      </c>
      <c r="B42" s="53"/>
      <c r="C42" s="53"/>
      <c r="D42" s="54">
        <v>5.5</v>
      </c>
      <c r="E42" s="55"/>
      <c r="F42" s="55">
        <v>9776</v>
      </c>
      <c r="G42" s="55"/>
      <c r="H42" s="83">
        <f t="shared" si="16"/>
        <v>9776</v>
      </c>
      <c r="I42" s="56"/>
      <c r="J42" s="115">
        <v>57186</v>
      </c>
      <c r="K42" s="44">
        <f t="shared" si="18"/>
        <v>66962</v>
      </c>
      <c r="L42" s="84">
        <v>-3847</v>
      </c>
      <c r="M42" s="111"/>
      <c r="N42" s="48">
        <f t="shared" si="19"/>
        <v>-3847</v>
      </c>
      <c r="O42" s="49"/>
      <c r="P42" s="50"/>
      <c r="Q42" s="48">
        <f t="shared" si="17"/>
        <v>0</v>
      </c>
    </row>
    <row r="43" spans="1:22" s="158" customFormat="1" ht="11.25" x14ac:dyDescent="0.2">
      <c r="A43" s="52" t="s">
        <v>6</v>
      </c>
      <c r="B43" s="53"/>
      <c r="C43" s="53"/>
      <c r="D43" s="114">
        <v>12.75</v>
      </c>
      <c r="E43" s="55"/>
      <c r="F43" s="55"/>
      <c r="G43" s="117">
        <v>25122</v>
      </c>
      <c r="H43" s="83">
        <f t="shared" si="16"/>
        <v>25122</v>
      </c>
      <c r="I43" s="56"/>
      <c r="J43" s="117">
        <f>20861+5000+25000+4000</f>
        <v>54861</v>
      </c>
      <c r="K43" s="44">
        <f>SUM(H43:J43)</f>
        <v>79983</v>
      </c>
      <c r="L43" s="84"/>
      <c r="M43" s="118">
        <v>61787.07</v>
      </c>
      <c r="N43" s="48">
        <f t="shared" si="19"/>
        <v>61787.07</v>
      </c>
      <c r="O43" s="49">
        <v>250396</v>
      </c>
      <c r="P43" s="50"/>
      <c r="Q43" s="48">
        <f t="shared" si="17"/>
        <v>250396</v>
      </c>
      <c r="R43" s="51"/>
      <c r="S43" s="51"/>
      <c r="T43" s="51"/>
    </row>
    <row r="44" spans="1:22" s="51" customFormat="1" ht="14.1" customHeight="1" x14ac:dyDescent="0.2">
      <c r="A44" s="88" t="s">
        <v>49</v>
      </c>
      <c r="B44" s="60">
        <f>SUM(B33:B43)</f>
        <v>88</v>
      </c>
      <c r="C44" s="60">
        <f>SUM(C33:C43)</f>
        <v>10</v>
      </c>
      <c r="D44" s="60">
        <f t="shared" ref="D44:G44" si="20">SUM(D33:D43)</f>
        <v>39.450000000000003</v>
      </c>
      <c r="E44" s="99">
        <f t="shared" si="20"/>
        <v>1835716</v>
      </c>
      <c r="F44" s="119">
        <f t="shared" si="20"/>
        <v>9776</v>
      </c>
      <c r="G44" s="99">
        <f t="shared" si="20"/>
        <v>25122</v>
      </c>
      <c r="H44" s="63">
        <f>SUM(H33:H43)</f>
        <v>1870614</v>
      </c>
      <c r="I44" s="64">
        <f>SUM(I33:I43)</f>
        <v>0</v>
      </c>
      <c r="J44" s="65">
        <f>SUM(J33:J43)</f>
        <v>256048</v>
      </c>
      <c r="K44" s="63">
        <f>SUM(H44:J44)</f>
        <v>2126662</v>
      </c>
      <c r="L44" s="66">
        <f>SUM(L33:L43)</f>
        <v>53917</v>
      </c>
      <c r="M44" s="100">
        <f>SUM(M33:M43)</f>
        <v>123574.14</v>
      </c>
      <c r="N44" s="63">
        <f>SUM(L44:M44)</f>
        <v>177491.14</v>
      </c>
      <c r="O44" s="61">
        <f>SUM(O33:O43)</f>
        <v>250396</v>
      </c>
      <c r="P44" s="62">
        <f>SUM(P33:P43)</f>
        <v>139220.45000000001</v>
      </c>
      <c r="Q44" s="63">
        <f>SUM(O44:P44)</f>
        <v>389616.45</v>
      </c>
    </row>
    <row r="45" spans="1:22" s="39" customFormat="1" ht="30" customHeight="1" x14ac:dyDescent="0.2">
      <c r="A45" s="24" t="s">
        <v>15</v>
      </c>
      <c r="B45" s="68"/>
      <c r="C45" s="68"/>
      <c r="D45" s="68"/>
      <c r="E45" s="69"/>
      <c r="F45" s="69"/>
      <c r="G45" s="70"/>
      <c r="H45" s="71"/>
      <c r="I45" s="72"/>
      <c r="J45" s="73"/>
      <c r="K45" s="74"/>
      <c r="L45" s="75"/>
      <c r="M45" s="113"/>
      <c r="N45" s="77"/>
      <c r="O45" s="78"/>
      <c r="P45" s="79"/>
      <c r="Q45" s="80"/>
    </row>
    <row r="46" spans="1:22" s="138" customFormat="1" ht="11.25" x14ac:dyDescent="0.2">
      <c r="A46" s="85" t="s">
        <v>16</v>
      </c>
      <c r="B46" s="53">
        <v>15.5</v>
      </c>
      <c r="C46" s="53">
        <v>0</v>
      </c>
      <c r="D46" s="54">
        <v>5</v>
      </c>
      <c r="E46" s="55">
        <v>116618.94</v>
      </c>
      <c r="F46" s="55">
        <v>0</v>
      </c>
      <c r="G46" s="55">
        <v>0</v>
      </c>
      <c r="H46" s="83">
        <f>E46+F46+G46</f>
        <v>116618.94</v>
      </c>
      <c r="I46" s="56">
        <v>0</v>
      </c>
      <c r="J46" s="57">
        <v>37745</v>
      </c>
      <c r="K46" s="44">
        <f>SUM(H46:J46)</f>
        <v>154363.94</v>
      </c>
      <c r="L46" s="84">
        <f>-187634.65</f>
        <v>-187634.65</v>
      </c>
      <c r="M46" s="111">
        <v>29279</v>
      </c>
      <c r="N46" s="48">
        <f t="shared" ref="N46:N57" si="21">SUM(L46:M46)</f>
        <v>-158355.65</v>
      </c>
      <c r="O46" s="49">
        <v>102579.85</v>
      </c>
      <c r="P46" s="50">
        <v>55915</v>
      </c>
      <c r="Q46" s="48">
        <f t="shared" ref="Q46:Q57" si="22">SUM(O46:P46)</f>
        <v>158494.85</v>
      </c>
      <c r="R46" s="109"/>
      <c r="S46" s="51"/>
      <c r="T46" s="51"/>
      <c r="U46" s="51"/>
      <c r="V46" s="109"/>
    </row>
    <row r="47" spans="1:22" s="138" customFormat="1" ht="11.25" x14ac:dyDescent="0.2">
      <c r="A47" s="85" t="s">
        <v>17</v>
      </c>
      <c r="B47" s="53">
        <v>13</v>
      </c>
      <c r="C47" s="53">
        <v>0</v>
      </c>
      <c r="D47" s="54">
        <v>4</v>
      </c>
      <c r="E47" s="55">
        <v>101045.17</v>
      </c>
      <c r="F47" s="55">
        <v>0</v>
      </c>
      <c r="G47" s="55">
        <v>0</v>
      </c>
      <c r="H47" s="83">
        <f t="shared" ref="H47:H57" si="23">E47+F47+G47</f>
        <v>101045.17</v>
      </c>
      <c r="I47" s="56">
        <v>0</v>
      </c>
      <c r="J47" s="57">
        <v>21592</v>
      </c>
      <c r="K47" s="44">
        <f>SUM(H47:J47)</f>
        <v>122637.17</v>
      </c>
      <c r="L47" s="84">
        <v>-32573.439999999999</v>
      </c>
      <c r="M47" s="111">
        <v>14285</v>
      </c>
      <c r="N47" s="48">
        <f t="shared" si="21"/>
        <v>-18288.439999999999</v>
      </c>
      <c r="O47" s="49">
        <v>41198.379999999997</v>
      </c>
      <c r="P47" s="50">
        <v>2536.9299999999998</v>
      </c>
      <c r="Q47" s="48">
        <f t="shared" si="22"/>
        <v>43735.31</v>
      </c>
      <c r="R47" s="109"/>
      <c r="S47" s="51"/>
      <c r="T47" s="51"/>
      <c r="U47" s="51"/>
      <c r="V47" s="51"/>
    </row>
    <row r="48" spans="1:22" s="138" customFormat="1" ht="11.25" x14ac:dyDescent="0.2">
      <c r="A48" s="85" t="s">
        <v>18</v>
      </c>
      <c r="B48" s="53">
        <v>13.5</v>
      </c>
      <c r="C48" s="53">
        <v>0</v>
      </c>
      <c r="D48" s="54">
        <v>3.3</v>
      </c>
      <c r="E48" s="55">
        <v>73083.16</v>
      </c>
      <c r="F48" s="55">
        <v>0</v>
      </c>
      <c r="G48" s="55">
        <v>0</v>
      </c>
      <c r="H48" s="83">
        <f t="shared" si="23"/>
        <v>73083.16</v>
      </c>
      <c r="I48" s="56">
        <v>0</v>
      </c>
      <c r="J48" s="57">
        <v>8414</v>
      </c>
      <c r="K48" s="44">
        <f>SUM(H48:J48)</f>
        <v>81497.16</v>
      </c>
      <c r="L48" s="84">
        <v>91876.76</v>
      </c>
      <c r="M48" s="49">
        <v>9013</v>
      </c>
      <c r="N48" s="48">
        <f t="shared" si="21"/>
        <v>100889.76</v>
      </c>
      <c r="O48" s="49">
        <v>24522.01</v>
      </c>
      <c r="P48" s="50">
        <v>7249.2</v>
      </c>
      <c r="Q48" s="48">
        <f t="shared" si="22"/>
        <v>31771.21</v>
      </c>
      <c r="R48" s="109"/>
      <c r="S48" s="51"/>
      <c r="T48" s="51"/>
      <c r="U48" s="51"/>
      <c r="V48" s="51"/>
    </row>
    <row r="49" spans="1:22" s="138" customFormat="1" ht="11.25" x14ac:dyDescent="0.2">
      <c r="A49" s="85" t="s">
        <v>19</v>
      </c>
      <c r="B49" s="53">
        <v>10</v>
      </c>
      <c r="C49" s="53">
        <v>0</v>
      </c>
      <c r="D49" s="54">
        <v>1.75</v>
      </c>
      <c r="E49" s="55">
        <v>178182.71</v>
      </c>
      <c r="F49" s="55">
        <v>0</v>
      </c>
      <c r="G49" s="55">
        <v>0</v>
      </c>
      <c r="H49" s="83">
        <f t="shared" si="23"/>
        <v>178182.71</v>
      </c>
      <c r="I49" s="56">
        <v>0</v>
      </c>
      <c r="J49" s="57">
        <v>26742</v>
      </c>
      <c r="K49" s="44">
        <f t="shared" ref="K49:K56" si="24">SUM(H49:J49)</f>
        <v>204924.71</v>
      </c>
      <c r="L49" s="84">
        <v>163675</v>
      </c>
      <c r="M49" s="49">
        <v>14483</v>
      </c>
      <c r="N49" s="48">
        <f t="shared" si="21"/>
        <v>178158</v>
      </c>
      <c r="O49" s="49">
        <v>56129.26</v>
      </c>
      <c r="P49" s="50">
        <v>106287.12</v>
      </c>
      <c r="Q49" s="48">
        <f t="shared" si="22"/>
        <v>162416.38</v>
      </c>
      <c r="R49" s="109"/>
      <c r="S49" s="51"/>
      <c r="T49" s="51"/>
      <c r="U49" s="51"/>
      <c r="V49" s="51"/>
    </row>
    <row r="50" spans="1:22" s="138" customFormat="1" ht="11.25" x14ac:dyDescent="0.2">
      <c r="A50" s="85" t="s">
        <v>20</v>
      </c>
      <c r="B50" s="53">
        <v>25.55</v>
      </c>
      <c r="C50" s="53">
        <v>1</v>
      </c>
      <c r="D50" s="54">
        <v>3.7</v>
      </c>
      <c r="E50" s="55">
        <v>373813.07</v>
      </c>
      <c r="F50" s="55">
        <v>0</v>
      </c>
      <c r="G50" s="55">
        <v>0</v>
      </c>
      <c r="H50" s="83">
        <f t="shared" si="23"/>
        <v>373813.07</v>
      </c>
      <c r="I50" s="56">
        <v>0</v>
      </c>
      <c r="J50" s="57">
        <v>31924</v>
      </c>
      <c r="K50" s="44">
        <f t="shared" si="24"/>
        <v>405737.07</v>
      </c>
      <c r="L50" s="84">
        <v>106445.95</v>
      </c>
      <c r="M50" s="49">
        <v>15348</v>
      </c>
      <c r="N50" s="48">
        <f t="shared" si="21"/>
        <v>121793.95</v>
      </c>
      <c r="O50" s="49">
        <v>86212.78</v>
      </c>
      <c r="P50" s="50">
        <v>50590.43</v>
      </c>
      <c r="Q50" s="48">
        <f t="shared" si="22"/>
        <v>136803.21</v>
      </c>
      <c r="R50" s="109"/>
      <c r="S50" s="51"/>
      <c r="T50" s="109"/>
      <c r="U50" s="51"/>
      <c r="V50" s="51"/>
    </row>
    <row r="51" spans="1:22" s="138" customFormat="1" ht="11.25" x14ac:dyDescent="0.2">
      <c r="A51" s="89" t="s">
        <v>52</v>
      </c>
      <c r="B51" s="90">
        <v>0</v>
      </c>
      <c r="C51" s="90">
        <v>0</v>
      </c>
      <c r="D51" s="91">
        <v>0</v>
      </c>
      <c r="E51" s="92">
        <v>0</v>
      </c>
      <c r="F51" s="92">
        <v>0</v>
      </c>
      <c r="G51" s="92">
        <v>0</v>
      </c>
      <c r="H51" s="93"/>
      <c r="I51" s="94">
        <v>0</v>
      </c>
      <c r="J51" s="95">
        <v>0</v>
      </c>
      <c r="K51" s="96"/>
      <c r="L51" s="97">
        <v>0</v>
      </c>
      <c r="M51" s="92">
        <v>0</v>
      </c>
      <c r="N51" s="93">
        <f t="shared" si="21"/>
        <v>0</v>
      </c>
      <c r="O51" s="92">
        <v>0</v>
      </c>
      <c r="P51" s="98">
        <v>0</v>
      </c>
      <c r="Q51" s="93">
        <f t="shared" si="22"/>
        <v>0</v>
      </c>
      <c r="R51" s="109"/>
      <c r="S51" s="51"/>
      <c r="T51" s="51"/>
      <c r="U51" s="51"/>
      <c r="V51" s="51"/>
    </row>
    <row r="52" spans="1:22" s="138" customFormat="1" ht="11.25" x14ac:dyDescent="0.2">
      <c r="A52" s="85" t="s">
        <v>21</v>
      </c>
      <c r="B52" s="53">
        <v>9.5</v>
      </c>
      <c r="C52" s="53">
        <v>4</v>
      </c>
      <c r="D52" s="54">
        <v>4.55</v>
      </c>
      <c r="E52" s="55">
        <v>386579.61</v>
      </c>
      <c r="F52" s="55">
        <v>59676</v>
      </c>
      <c r="G52" s="55">
        <v>1903</v>
      </c>
      <c r="H52" s="83">
        <f t="shared" si="23"/>
        <v>448158.61</v>
      </c>
      <c r="I52" s="56">
        <v>0</v>
      </c>
      <c r="J52" s="57">
        <v>21867</v>
      </c>
      <c r="K52" s="44">
        <f t="shared" si="24"/>
        <v>470025.61</v>
      </c>
      <c r="L52" s="84">
        <v>-193769.24</v>
      </c>
      <c r="M52" s="49">
        <v>0</v>
      </c>
      <c r="N52" s="48">
        <f t="shared" si="21"/>
        <v>-193769.24</v>
      </c>
      <c r="O52" s="49">
        <v>43063.62</v>
      </c>
      <c r="P52" s="50">
        <v>38484.800000000003</v>
      </c>
      <c r="Q52" s="48">
        <f t="shared" si="22"/>
        <v>81548.420000000013</v>
      </c>
      <c r="R52" s="109"/>
      <c r="S52" s="51"/>
      <c r="T52" s="51"/>
      <c r="U52" s="51"/>
      <c r="V52" s="51"/>
    </row>
    <row r="53" spans="1:22" s="138" customFormat="1" ht="11.25" x14ac:dyDescent="0.2">
      <c r="A53" s="85" t="s">
        <v>22</v>
      </c>
      <c r="B53" s="53">
        <v>11</v>
      </c>
      <c r="C53" s="53">
        <v>0</v>
      </c>
      <c r="D53" s="54">
        <v>3.7</v>
      </c>
      <c r="E53" s="55">
        <v>371992.53</v>
      </c>
      <c r="F53" s="55">
        <v>28404</v>
      </c>
      <c r="G53" s="55">
        <v>1500</v>
      </c>
      <c r="H53" s="83">
        <f t="shared" si="23"/>
        <v>401896.53</v>
      </c>
      <c r="I53" s="56">
        <v>0</v>
      </c>
      <c r="J53" s="57">
        <v>22919</v>
      </c>
      <c r="K53" s="44">
        <f t="shared" si="24"/>
        <v>424815.53</v>
      </c>
      <c r="L53" s="84">
        <v>67387.509999999995</v>
      </c>
      <c r="M53" s="49">
        <v>15101</v>
      </c>
      <c r="N53" s="48">
        <f t="shared" si="21"/>
        <v>82488.509999999995</v>
      </c>
      <c r="O53" s="49">
        <v>134999.62</v>
      </c>
      <c r="P53" s="50">
        <v>15681.47</v>
      </c>
      <c r="Q53" s="48">
        <f t="shared" si="22"/>
        <v>150681.09</v>
      </c>
      <c r="R53" s="109"/>
      <c r="S53" s="51"/>
      <c r="T53" s="51"/>
      <c r="U53" s="51"/>
      <c r="V53" s="51"/>
    </row>
    <row r="54" spans="1:22" s="138" customFormat="1" ht="11.25" x14ac:dyDescent="0.2">
      <c r="A54" s="85" t="s">
        <v>23</v>
      </c>
      <c r="B54" s="53">
        <v>7</v>
      </c>
      <c r="C54" s="53">
        <v>0</v>
      </c>
      <c r="D54" s="120">
        <v>2</v>
      </c>
      <c r="E54" s="55">
        <v>52323.24</v>
      </c>
      <c r="F54" s="55">
        <v>0</v>
      </c>
      <c r="G54" s="55">
        <v>1330</v>
      </c>
      <c r="H54" s="83">
        <f t="shared" si="23"/>
        <v>53653.24</v>
      </c>
      <c r="I54" s="56">
        <v>0</v>
      </c>
      <c r="J54" s="57">
        <v>4557</v>
      </c>
      <c r="K54" s="44">
        <f t="shared" si="24"/>
        <v>58210.239999999998</v>
      </c>
      <c r="L54" s="84">
        <v>-40465.79</v>
      </c>
      <c r="M54" s="49">
        <v>4566</v>
      </c>
      <c r="N54" s="48">
        <f t="shared" si="21"/>
        <v>-35899.79</v>
      </c>
      <c r="O54" s="49">
        <v>127028.03</v>
      </c>
      <c r="P54" s="50">
        <v>7354.85</v>
      </c>
      <c r="Q54" s="48">
        <f t="shared" si="22"/>
        <v>134382.88</v>
      </c>
      <c r="R54" s="109"/>
      <c r="S54" s="51"/>
      <c r="T54" s="51"/>
      <c r="U54" s="51"/>
      <c r="V54" s="51"/>
    </row>
    <row r="55" spans="1:22" s="138" customFormat="1" ht="11.25" x14ac:dyDescent="0.2">
      <c r="A55" s="85" t="s">
        <v>24</v>
      </c>
      <c r="B55" s="53">
        <v>6.33</v>
      </c>
      <c r="C55" s="53">
        <v>0</v>
      </c>
      <c r="D55" s="120">
        <v>1</v>
      </c>
      <c r="E55" s="55">
        <v>31408.82</v>
      </c>
      <c r="F55" s="55">
        <v>0</v>
      </c>
      <c r="G55" s="55"/>
      <c r="H55" s="83">
        <f t="shared" si="23"/>
        <v>31408.82</v>
      </c>
      <c r="I55" s="56">
        <v>0</v>
      </c>
      <c r="J55" s="57">
        <v>5749</v>
      </c>
      <c r="K55" s="44">
        <f t="shared" si="24"/>
        <v>37157.82</v>
      </c>
      <c r="L55" s="84">
        <v>5649.51</v>
      </c>
      <c r="M55" s="49">
        <v>2158</v>
      </c>
      <c r="N55" s="48">
        <f t="shared" si="21"/>
        <v>7807.51</v>
      </c>
      <c r="O55" s="49">
        <v>85256.59</v>
      </c>
      <c r="P55" s="50">
        <v>666.5</v>
      </c>
      <c r="Q55" s="48">
        <f t="shared" si="22"/>
        <v>85923.09</v>
      </c>
      <c r="R55" s="109"/>
      <c r="S55" s="51"/>
      <c r="T55" s="51"/>
      <c r="U55" s="51"/>
      <c r="V55" s="51"/>
    </row>
    <row r="56" spans="1:22" s="138" customFormat="1" ht="11.25" x14ac:dyDescent="0.2">
      <c r="A56" s="85" t="s">
        <v>25</v>
      </c>
      <c r="B56" s="53">
        <v>0</v>
      </c>
      <c r="C56" s="53">
        <v>0</v>
      </c>
      <c r="D56" s="54">
        <v>1</v>
      </c>
      <c r="E56" s="55">
        <v>0</v>
      </c>
      <c r="F56" s="55">
        <v>0</v>
      </c>
      <c r="G56" s="55"/>
      <c r="H56" s="83">
        <f t="shared" si="23"/>
        <v>0</v>
      </c>
      <c r="I56" s="56">
        <v>0</v>
      </c>
      <c r="J56" s="57">
        <v>0</v>
      </c>
      <c r="K56" s="44">
        <f t="shared" si="24"/>
        <v>0</v>
      </c>
      <c r="L56" s="84">
        <v>-812.07</v>
      </c>
      <c r="M56" s="49">
        <v>0</v>
      </c>
      <c r="N56" s="48">
        <f t="shared" si="21"/>
        <v>-812.07</v>
      </c>
      <c r="O56" s="49">
        <v>0</v>
      </c>
      <c r="P56" s="50">
        <v>0</v>
      </c>
      <c r="Q56" s="48">
        <f t="shared" si="22"/>
        <v>0</v>
      </c>
      <c r="R56" s="109"/>
      <c r="S56" s="51"/>
      <c r="T56" s="51"/>
      <c r="U56" s="51"/>
      <c r="V56" s="51"/>
    </row>
    <row r="57" spans="1:22" s="138" customFormat="1" ht="11.25" x14ac:dyDescent="0.2">
      <c r="A57" s="52" t="s">
        <v>6</v>
      </c>
      <c r="B57" s="53">
        <v>0</v>
      </c>
      <c r="C57" s="53">
        <v>0</v>
      </c>
      <c r="D57" s="54">
        <v>9.5</v>
      </c>
      <c r="E57" s="55">
        <v>363189.73</v>
      </c>
      <c r="F57" s="55">
        <v>21012</v>
      </c>
      <c r="G57" s="55">
        <v>20350</v>
      </c>
      <c r="H57" s="83">
        <f t="shared" si="23"/>
        <v>404551.73</v>
      </c>
      <c r="I57" s="56">
        <v>0</v>
      </c>
      <c r="J57" s="57">
        <v>30200</v>
      </c>
      <c r="K57" s="44">
        <f>SUM(H57:J57)</f>
        <v>434751.73</v>
      </c>
      <c r="L57" s="84">
        <f>-6437.32-38318.23+1246.47+56446.32</f>
        <v>12937.239999999998</v>
      </c>
      <c r="M57" s="49">
        <v>146517</v>
      </c>
      <c r="N57" s="48">
        <f t="shared" si="21"/>
        <v>159454.24</v>
      </c>
      <c r="O57" s="49">
        <v>76249.63</v>
      </c>
      <c r="P57" s="50">
        <v>17874.919999999998</v>
      </c>
      <c r="Q57" s="48">
        <f t="shared" si="22"/>
        <v>94124.55</v>
      </c>
      <c r="R57" s="109"/>
      <c r="S57" s="51"/>
      <c r="T57" s="51"/>
      <c r="U57" s="51"/>
      <c r="V57" s="109"/>
    </row>
    <row r="58" spans="1:22" s="51" customFormat="1" ht="14.1" customHeight="1" x14ac:dyDescent="0.2">
      <c r="A58" s="59" t="s">
        <v>49</v>
      </c>
      <c r="B58" s="60">
        <f>SUM(B46:B57)</f>
        <v>111.38</v>
      </c>
      <c r="C58" s="60">
        <f>SUM(C46:C57)</f>
        <v>5</v>
      </c>
      <c r="D58" s="60">
        <f t="shared" ref="D58:G58" si="25">SUM(D46:D57)</f>
        <v>39.5</v>
      </c>
      <c r="E58" s="99">
        <f t="shared" si="25"/>
        <v>2048236.9800000002</v>
      </c>
      <c r="F58" s="99">
        <f t="shared" si="25"/>
        <v>109092</v>
      </c>
      <c r="G58" s="99">
        <f t="shared" si="25"/>
        <v>25083</v>
      </c>
      <c r="H58" s="63">
        <f>SUM(H46:H57)</f>
        <v>2182411.9800000004</v>
      </c>
      <c r="I58" s="64">
        <f>SUM(I46:I57)</f>
        <v>0</v>
      </c>
      <c r="J58" s="65">
        <f>SUM(J46:J57)</f>
        <v>211709</v>
      </c>
      <c r="K58" s="63">
        <f>SUM(H58:J58)</f>
        <v>2394120.9800000004</v>
      </c>
      <c r="L58" s="66">
        <f t="shared" ref="L58:Q58" si="26">SUM(L46:L57)</f>
        <v>-7283.2200000000012</v>
      </c>
      <c r="M58" s="66">
        <f t="shared" si="26"/>
        <v>250750</v>
      </c>
      <c r="N58" s="63">
        <f t="shared" si="26"/>
        <v>243466.77999999997</v>
      </c>
      <c r="O58" s="66">
        <f>SUM(O46:O57)</f>
        <v>777239.77</v>
      </c>
      <c r="P58" s="61">
        <f>SUM(P46:P57)</f>
        <v>302641.21999999991</v>
      </c>
      <c r="Q58" s="63">
        <f t="shared" si="26"/>
        <v>1079880.99</v>
      </c>
      <c r="R58" s="109"/>
    </row>
    <row r="59" spans="1:22" s="150" customFormat="1" ht="30.75" customHeight="1" x14ac:dyDescent="0.2">
      <c r="A59" s="67" t="s">
        <v>26</v>
      </c>
      <c r="B59" s="68"/>
      <c r="C59" s="68"/>
      <c r="D59" s="68"/>
      <c r="E59" s="69"/>
      <c r="F59" s="69"/>
      <c r="G59" s="70"/>
      <c r="H59" s="71"/>
      <c r="I59" s="72"/>
      <c r="J59" s="73"/>
      <c r="K59" s="74"/>
      <c r="L59" s="75"/>
      <c r="M59" s="76"/>
      <c r="N59" s="77"/>
      <c r="O59" s="78"/>
      <c r="P59" s="79"/>
      <c r="Q59" s="80"/>
      <c r="R59" s="51"/>
      <c r="S59" s="51"/>
      <c r="T59" s="51"/>
      <c r="U59" s="51"/>
      <c r="V59" s="51"/>
    </row>
    <row r="60" spans="1:22" s="150" customFormat="1" ht="11.25" x14ac:dyDescent="0.2">
      <c r="A60" s="85" t="s">
        <v>27</v>
      </c>
      <c r="B60" s="53">
        <v>8</v>
      </c>
      <c r="C60" s="53">
        <v>0</v>
      </c>
      <c r="D60" s="54">
        <v>0.5</v>
      </c>
      <c r="E60" s="55">
        <v>30590</v>
      </c>
      <c r="F60" s="55">
        <v>0</v>
      </c>
      <c r="G60" s="55">
        <v>0</v>
      </c>
      <c r="H60" s="83">
        <f>E60+F60+G60</f>
        <v>30590</v>
      </c>
      <c r="I60" s="56"/>
      <c r="J60" s="57">
        <v>7214</v>
      </c>
      <c r="K60" s="44">
        <f>SUM(H60:J60)</f>
        <v>37804</v>
      </c>
      <c r="L60" s="84">
        <v>24797</v>
      </c>
      <c r="M60" s="49">
        <v>2238.56</v>
      </c>
      <c r="N60" s="48">
        <f t="shared" ref="N60:N67" si="27">SUM(L60:M60)</f>
        <v>27035.56</v>
      </c>
      <c r="O60" s="49">
        <f>435+220+5361</f>
        <v>6016</v>
      </c>
      <c r="P60" s="50">
        <v>4691.87</v>
      </c>
      <c r="Q60" s="48">
        <f t="shared" ref="Q60:Q73" si="28">SUM(O60:P60)</f>
        <v>10707.869999999999</v>
      </c>
    </row>
    <row r="61" spans="1:22" s="150" customFormat="1" ht="11.25" x14ac:dyDescent="0.2">
      <c r="A61" s="85" t="s">
        <v>28</v>
      </c>
      <c r="B61" s="53">
        <v>14</v>
      </c>
      <c r="C61" s="53">
        <v>0</v>
      </c>
      <c r="D61" s="54">
        <v>1</v>
      </c>
      <c r="E61" s="55">
        <f>28000+83000+1285</f>
        <v>112285</v>
      </c>
      <c r="F61" s="55">
        <v>0</v>
      </c>
      <c r="G61" s="55">
        <v>0</v>
      </c>
      <c r="H61" s="83">
        <f t="shared" ref="H61:H73" si="29">E61+F61+G61</f>
        <v>112285</v>
      </c>
      <c r="I61" s="56"/>
      <c r="J61" s="57">
        <v>13015</v>
      </c>
      <c r="K61" s="44">
        <f>SUM(H61:J61)</f>
        <v>125300</v>
      </c>
      <c r="L61" s="84">
        <v>106992</v>
      </c>
      <c r="M61" s="49">
        <v>11136.31</v>
      </c>
      <c r="N61" s="48">
        <f t="shared" si="27"/>
        <v>118128.31</v>
      </c>
      <c r="O61" s="49">
        <v>9269</v>
      </c>
      <c r="P61" s="50">
        <v>66833.929999999993</v>
      </c>
      <c r="Q61" s="48">
        <f t="shared" si="28"/>
        <v>76102.929999999993</v>
      </c>
    </row>
    <row r="62" spans="1:22" s="150" customFormat="1" ht="11.25" x14ac:dyDescent="0.2">
      <c r="A62" s="85" t="s">
        <v>29</v>
      </c>
      <c r="B62" s="53">
        <v>7</v>
      </c>
      <c r="C62" s="53">
        <v>0</v>
      </c>
      <c r="D62" s="54">
        <v>1</v>
      </c>
      <c r="E62" s="55">
        <f>635+70000</f>
        <v>70635</v>
      </c>
      <c r="F62" s="55">
        <v>0</v>
      </c>
      <c r="G62" s="55">
        <v>0</v>
      </c>
      <c r="H62" s="83">
        <f t="shared" si="29"/>
        <v>70635</v>
      </c>
      <c r="I62" s="56"/>
      <c r="J62" s="57">
        <v>6337</v>
      </c>
      <c r="K62" s="44">
        <f>SUM(H62:J62)</f>
        <v>76972</v>
      </c>
      <c r="L62" s="84">
        <v>87134</v>
      </c>
      <c r="M62" s="49">
        <v>668.92</v>
      </c>
      <c r="N62" s="48">
        <f t="shared" si="27"/>
        <v>87802.92</v>
      </c>
      <c r="O62" s="49">
        <v>7673</v>
      </c>
      <c r="P62" s="50">
        <v>23604.94</v>
      </c>
      <c r="Q62" s="48">
        <f t="shared" si="28"/>
        <v>31277.94</v>
      </c>
    </row>
    <row r="63" spans="1:22" s="150" customFormat="1" ht="11.25" x14ac:dyDescent="0.2">
      <c r="A63" s="85" t="s">
        <v>30</v>
      </c>
      <c r="B63" s="53">
        <v>7</v>
      </c>
      <c r="C63" s="53">
        <v>0</v>
      </c>
      <c r="D63" s="54">
        <v>0.5</v>
      </c>
      <c r="E63" s="55">
        <v>38000</v>
      </c>
      <c r="F63" s="55">
        <v>0</v>
      </c>
      <c r="G63" s="55">
        <v>0</v>
      </c>
      <c r="H63" s="83">
        <f t="shared" si="29"/>
        <v>38000</v>
      </c>
      <c r="I63" s="56"/>
      <c r="J63" s="57">
        <v>6337</v>
      </c>
      <c r="K63" s="44">
        <f>SUM(H63:J63)</f>
        <v>44337</v>
      </c>
      <c r="L63" s="84">
        <v>42859</v>
      </c>
      <c r="M63" s="49">
        <v>480.86</v>
      </c>
      <c r="N63" s="48">
        <f t="shared" si="27"/>
        <v>43339.86</v>
      </c>
      <c r="O63" s="49">
        <v>15422</v>
      </c>
      <c r="P63" s="50">
        <v>1295.3599999999999</v>
      </c>
      <c r="Q63" s="48">
        <f t="shared" si="28"/>
        <v>16717.36</v>
      </c>
    </row>
    <row r="64" spans="1:22" s="150" customFormat="1" ht="11.25" x14ac:dyDescent="0.2">
      <c r="A64" s="85" t="s">
        <v>31</v>
      </c>
      <c r="B64" s="53">
        <v>13</v>
      </c>
      <c r="C64" s="53">
        <v>0</v>
      </c>
      <c r="D64" s="54">
        <v>1</v>
      </c>
      <c r="E64" s="55">
        <f>79000+40006+1268</f>
        <v>120274</v>
      </c>
      <c r="F64" s="55">
        <v>0</v>
      </c>
      <c r="G64" s="55">
        <v>0</v>
      </c>
      <c r="H64" s="83">
        <f t="shared" si="29"/>
        <v>120274</v>
      </c>
      <c r="I64" s="56"/>
      <c r="J64" s="57">
        <v>11545</v>
      </c>
      <c r="K64" s="44">
        <f>SUM(H64:J64)</f>
        <v>131819</v>
      </c>
      <c r="L64" s="84">
        <v>77440</v>
      </c>
      <c r="M64" s="49">
        <v>12967.97</v>
      </c>
      <c r="N64" s="48">
        <f t="shared" si="27"/>
        <v>90407.97</v>
      </c>
      <c r="O64" s="49">
        <f>9596+14875</f>
        <v>24471</v>
      </c>
      <c r="P64" s="50">
        <v>21550.83</v>
      </c>
      <c r="Q64" s="48">
        <f t="shared" si="28"/>
        <v>46021.83</v>
      </c>
    </row>
    <row r="65" spans="1:20" s="150" customFormat="1" ht="11.25" x14ac:dyDescent="0.2">
      <c r="A65" s="85" t="s">
        <v>32</v>
      </c>
      <c r="B65" s="53">
        <f>8.83+0.67</f>
        <v>9.5</v>
      </c>
      <c r="C65" s="53">
        <v>0</v>
      </c>
      <c r="D65" s="54">
        <v>1</v>
      </c>
      <c r="E65" s="55">
        <v>45000</v>
      </c>
      <c r="F65" s="55">
        <v>0</v>
      </c>
      <c r="G65" s="55">
        <v>0</v>
      </c>
      <c r="H65" s="83">
        <f t="shared" si="29"/>
        <v>45000</v>
      </c>
      <c r="I65" s="56"/>
      <c r="J65" s="57">
        <v>8603</v>
      </c>
      <c r="K65" s="44">
        <f t="shared" ref="K65:K72" si="30">SUM(H65:J65)</f>
        <v>53603</v>
      </c>
      <c r="L65" s="84">
        <v>88271</v>
      </c>
      <c r="M65" s="49">
        <v>11220.93</v>
      </c>
      <c r="N65" s="48">
        <f t="shared" si="27"/>
        <v>99491.93</v>
      </c>
      <c r="O65" s="49">
        <v>12470</v>
      </c>
      <c r="P65" s="50">
        <v>9294.58</v>
      </c>
      <c r="Q65" s="48">
        <f t="shared" si="28"/>
        <v>21764.58</v>
      </c>
    </row>
    <row r="66" spans="1:20" s="150" customFormat="1" ht="11.25" x14ac:dyDescent="0.2">
      <c r="A66" s="85" t="s">
        <v>33</v>
      </c>
      <c r="B66" s="53">
        <v>29.5</v>
      </c>
      <c r="C66" s="53">
        <v>2</v>
      </c>
      <c r="D66" s="54">
        <v>4</v>
      </c>
      <c r="E66" s="55">
        <f>870+244000+122808</f>
        <v>367678</v>
      </c>
      <c r="F66" s="55">
        <v>0</v>
      </c>
      <c r="G66" s="55">
        <v>0</v>
      </c>
      <c r="H66" s="83">
        <f t="shared" si="29"/>
        <v>367678</v>
      </c>
      <c r="I66" s="56"/>
      <c r="J66" s="57">
        <v>28666</v>
      </c>
      <c r="K66" s="44">
        <f t="shared" si="30"/>
        <v>396344</v>
      </c>
      <c r="L66" s="84">
        <v>426070</v>
      </c>
      <c r="M66" s="49">
        <f>38814.19+7345.26</f>
        <v>46159.450000000004</v>
      </c>
      <c r="N66" s="48">
        <f t="shared" si="27"/>
        <v>472229.45</v>
      </c>
      <c r="O66" s="49">
        <f>89225+13355</f>
        <v>102580</v>
      </c>
      <c r="P66" s="50">
        <v>96747.27</v>
      </c>
      <c r="Q66" s="48">
        <f t="shared" si="28"/>
        <v>199327.27000000002</v>
      </c>
    </row>
    <row r="67" spans="1:20" s="150" customFormat="1" ht="11.25" x14ac:dyDescent="0.2">
      <c r="A67" s="85" t="s">
        <v>88</v>
      </c>
      <c r="B67" s="53">
        <f>11.83+0.67</f>
        <v>12.5</v>
      </c>
      <c r="C67" s="53">
        <v>0</v>
      </c>
      <c r="D67" s="54">
        <v>1</v>
      </c>
      <c r="E67" s="55">
        <f>275+53000</f>
        <v>53275</v>
      </c>
      <c r="F67" s="55">
        <v>0</v>
      </c>
      <c r="G67" s="55">
        <v>0</v>
      </c>
      <c r="H67" s="83">
        <f t="shared" si="29"/>
        <v>53275</v>
      </c>
      <c r="I67" s="56"/>
      <c r="J67" s="57">
        <v>10784</v>
      </c>
      <c r="K67" s="44">
        <f t="shared" si="30"/>
        <v>64059</v>
      </c>
      <c r="L67" s="84">
        <v>-689</v>
      </c>
      <c r="M67" s="49">
        <v>11227.69</v>
      </c>
      <c r="N67" s="48">
        <f t="shared" si="27"/>
        <v>10538.69</v>
      </c>
      <c r="O67" s="49">
        <f>23239+10055</f>
        <v>33294</v>
      </c>
      <c r="P67" s="50">
        <v>10212.700000000001</v>
      </c>
      <c r="Q67" s="48">
        <f t="shared" si="28"/>
        <v>43506.7</v>
      </c>
    </row>
    <row r="68" spans="1:20" s="150" customFormat="1" ht="11.25" x14ac:dyDescent="0.2">
      <c r="A68" s="89" t="s">
        <v>53</v>
      </c>
      <c r="B68" s="90">
        <v>0</v>
      </c>
      <c r="C68" s="90">
        <v>0</v>
      </c>
      <c r="D68" s="91">
        <v>1</v>
      </c>
      <c r="E68" s="92">
        <f>-76728-122808+342665</f>
        <v>143129</v>
      </c>
      <c r="F68" s="92">
        <v>0</v>
      </c>
      <c r="G68" s="92">
        <v>20905</v>
      </c>
      <c r="H68" s="93">
        <f>+E68+F68+G68</f>
        <v>164034</v>
      </c>
      <c r="I68" s="94"/>
      <c r="J68" s="95">
        <v>332</v>
      </c>
      <c r="K68" s="96">
        <f t="shared" si="30"/>
        <v>164366</v>
      </c>
      <c r="L68" s="97">
        <f>1000+8100+20000</f>
        <v>29100</v>
      </c>
      <c r="M68" s="92">
        <v>19916.48</v>
      </c>
      <c r="N68" s="93">
        <f t="shared" ref="N68:N73" si="31">SUM(L68:M68)</f>
        <v>49016.479999999996</v>
      </c>
      <c r="O68" s="92">
        <f>4160+14113</f>
        <v>18273</v>
      </c>
      <c r="P68" s="98">
        <v>0</v>
      </c>
      <c r="Q68" s="93">
        <f t="shared" si="28"/>
        <v>18273</v>
      </c>
    </row>
    <row r="69" spans="1:20" s="150" customFormat="1" ht="11.25" x14ac:dyDescent="0.2">
      <c r="A69" s="85" t="s">
        <v>34</v>
      </c>
      <c r="B69" s="53">
        <v>7</v>
      </c>
      <c r="C69" s="53">
        <v>1</v>
      </c>
      <c r="D69" s="54">
        <v>2</v>
      </c>
      <c r="E69" s="55">
        <f>1359+88000+76728</f>
        <v>166087</v>
      </c>
      <c r="F69" s="55">
        <v>0</v>
      </c>
      <c r="G69" s="55">
        <v>0</v>
      </c>
      <c r="H69" s="83">
        <f t="shared" si="29"/>
        <v>166087</v>
      </c>
      <c r="I69" s="56"/>
      <c r="J69" s="57">
        <v>12094</v>
      </c>
      <c r="K69" s="44">
        <f t="shared" si="30"/>
        <v>178181</v>
      </c>
      <c r="L69" s="84">
        <v>-30532</v>
      </c>
      <c r="M69" s="49">
        <v>624.07000000000005</v>
      </c>
      <c r="N69" s="48">
        <f t="shared" si="31"/>
        <v>-29907.93</v>
      </c>
      <c r="O69" s="49">
        <f>19848+2000</f>
        <v>21848</v>
      </c>
      <c r="P69" s="50">
        <v>209230.1</v>
      </c>
      <c r="Q69" s="48">
        <f t="shared" si="28"/>
        <v>231078.1</v>
      </c>
    </row>
    <row r="70" spans="1:20" s="150" customFormat="1" ht="11.25" x14ac:dyDescent="0.2">
      <c r="A70" s="85" t="s">
        <v>85</v>
      </c>
      <c r="B70" s="53">
        <v>0</v>
      </c>
      <c r="C70" s="53">
        <v>0</v>
      </c>
      <c r="D70" s="54">
        <v>0</v>
      </c>
      <c r="E70" s="55">
        <v>0</v>
      </c>
      <c r="F70" s="55">
        <v>0</v>
      </c>
      <c r="G70" s="55">
        <v>0</v>
      </c>
      <c r="H70" s="83">
        <f t="shared" si="29"/>
        <v>0</v>
      </c>
      <c r="I70" s="56"/>
      <c r="J70" s="57">
        <v>54543</v>
      </c>
      <c r="K70" s="44">
        <f t="shared" si="30"/>
        <v>54543</v>
      </c>
      <c r="L70" s="84">
        <v>39581</v>
      </c>
      <c r="M70" s="49">
        <v>0</v>
      </c>
      <c r="N70" s="48">
        <f t="shared" si="31"/>
        <v>39581</v>
      </c>
      <c r="O70" s="49">
        <v>0</v>
      </c>
      <c r="P70" s="50">
        <v>0</v>
      </c>
      <c r="Q70" s="48">
        <f t="shared" si="28"/>
        <v>0</v>
      </c>
    </row>
    <row r="71" spans="1:20" s="150" customFormat="1" ht="11.25" x14ac:dyDescent="0.2">
      <c r="A71" s="85" t="s">
        <v>35</v>
      </c>
      <c r="B71" s="53">
        <v>0</v>
      </c>
      <c r="C71" s="53">
        <v>0</v>
      </c>
      <c r="D71" s="54">
        <v>0</v>
      </c>
      <c r="E71" s="55">
        <v>0</v>
      </c>
      <c r="F71" s="55">
        <v>0</v>
      </c>
      <c r="G71" s="55">
        <v>0</v>
      </c>
      <c r="H71" s="83">
        <f t="shared" si="29"/>
        <v>0</v>
      </c>
      <c r="I71" s="56"/>
      <c r="J71" s="57">
        <v>425</v>
      </c>
      <c r="K71" s="44">
        <f t="shared" si="30"/>
        <v>425</v>
      </c>
      <c r="L71" s="84">
        <v>1075</v>
      </c>
      <c r="M71" s="49">
        <v>0</v>
      </c>
      <c r="N71" s="48">
        <f t="shared" si="31"/>
        <v>1075</v>
      </c>
      <c r="O71" s="49">
        <v>0</v>
      </c>
      <c r="P71" s="50">
        <v>0</v>
      </c>
      <c r="Q71" s="48">
        <f t="shared" si="28"/>
        <v>0</v>
      </c>
    </row>
    <row r="72" spans="1:20" s="150" customFormat="1" ht="11.25" x14ac:dyDescent="0.2">
      <c r="A72" s="85" t="s">
        <v>36</v>
      </c>
      <c r="B72" s="53">
        <v>0</v>
      </c>
      <c r="C72" s="53">
        <v>0</v>
      </c>
      <c r="D72" s="54">
        <v>0</v>
      </c>
      <c r="E72" s="55">
        <v>0</v>
      </c>
      <c r="F72" s="55">
        <v>0</v>
      </c>
      <c r="G72" s="55">
        <v>0</v>
      </c>
      <c r="H72" s="83">
        <f t="shared" si="29"/>
        <v>0</v>
      </c>
      <c r="I72" s="56"/>
      <c r="J72" s="57">
        <v>480</v>
      </c>
      <c r="K72" s="44">
        <f t="shared" si="30"/>
        <v>480</v>
      </c>
      <c r="L72" s="84">
        <v>1020</v>
      </c>
      <c r="M72" s="49">
        <v>0</v>
      </c>
      <c r="N72" s="48">
        <f t="shared" si="31"/>
        <v>1020</v>
      </c>
      <c r="O72" s="49">
        <v>0</v>
      </c>
      <c r="P72" s="50">
        <v>0</v>
      </c>
      <c r="Q72" s="48">
        <f t="shared" si="28"/>
        <v>0</v>
      </c>
    </row>
    <row r="73" spans="1:20" s="150" customFormat="1" ht="11.25" x14ac:dyDescent="0.2">
      <c r="A73" s="52" t="s">
        <v>6</v>
      </c>
      <c r="B73" s="53">
        <v>0</v>
      </c>
      <c r="C73" s="53">
        <v>0</v>
      </c>
      <c r="D73" s="54">
        <v>12</v>
      </c>
      <c r="E73" s="55">
        <v>0</v>
      </c>
      <c r="F73" s="55">
        <v>1264</v>
      </c>
      <c r="G73" s="55">
        <v>0</v>
      </c>
      <c r="H73" s="83">
        <f t="shared" si="29"/>
        <v>1264</v>
      </c>
      <c r="I73" s="56">
        <v>120947</v>
      </c>
      <c r="J73" s="57">
        <v>24000</v>
      </c>
      <c r="K73" s="44">
        <f>SUM(H73:J73)</f>
        <v>146211</v>
      </c>
      <c r="L73" s="84">
        <f>88072+8000+2000+65000+1000+10000+10000+372923-20000</f>
        <v>536995</v>
      </c>
      <c r="M73" s="49">
        <v>116641.24</v>
      </c>
      <c r="N73" s="48">
        <f t="shared" si="31"/>
        <v>653636.24</v>
      </c>
      <c r="O73" s="49">
        <f>400000+4000+1000+16000+8000+56500+12053+2566+2644</f>
        <v>502763</v>
      </c>
      <c r="P73" s="50">
        <v>64823.35</v>
      </c>
      <c r="Q73" s="48">
        <f t="shared" si="28"/>
        <v>567586.35</v>
      </c>
    </row>
    <row r="74" spans="1:20" s="51" customFormat="1" ht="14.1" customHeight="1" thickBot="1" x14ac:dyDescent="0.25">
      <c r="A74" s="101" t="s">
        <v>49</v>
      </c>
      <c r="B74" s="102">
        <f t="shared" ref="B74:J74" si="32">SUM(B60:B73)</f>
        <v>107.5</v>
      </c>
      <c r="C74" s="102">
        <f t="shared" si="32"/>
        <v>3</v>
      </c>
      <c r="D74" s="102">
        <v>24</v>
      </c>
      <c r="E74" s="103">
        <f t="shared" si="32"/>
        <v>1146953</v>
      </c>
      <c r="F74" s="103">
        <f t="shared" si="32"/>
        <v>1264</v>
      </c>
      <c r="G74" s="103">
        <f t="shared" si="32"/>
        <v>20905</v>
      </c>
      <c r="H74" s="104">
        <f t="shared" si="32"/>
        <v>1169122</v>
      </c>
      <c r="I74" s="105">
        <f t="shared" si="32"/>
        <v>120947</v>
      </c>
      <c r="J74" s="106">
        <f t="shared" si="32"/>
        <v>184375</v>
      </c>
      <c r="K74" s="104">
        <f>SUM(H74:J74)</f>
        <v>1474444</v>
      </c>
      <c r="L74" s="107">
        <f t="shared" ref="L74:Q74" si="33">SUM(L60:L73)</f>
        <v>1430113</v>
      </c>
      <c r="M74" s="108">
        <f t="shared" si="33"/>
        <v>233282.48</v>
      </c>
      <c r="N74" s="104">
        <f t="shared" si="33"/>
        <v>1663395.48</v>
      </c>
      <c r="O74" s="107">
        <f t="shared" si="33"/>
        <v>754079</v>
      </c>
      <c r="P74" s="108">
        <f t="shared" si="33"/>
        <v>508284.93</v>
      </c>
      <c r="Q74" s="104">
        <f t="shared" si="33"/>
        <v>1262363.9300000002</v>
      </c>
    </row>
    <row r="75" spans="1:20" s="39" customFormat="1" ht="30" customHeight="1" thickBot="1" x14ac:dyDescent="0.25">
      <c r="A75" s="135" t="s">
        <v>71</v>
      </c>
      <c r="B75" s="134">
        <f t="shared" ref="B75:Q75" si="34">B15+B23+B31+B44+B58+B74</f>
        <v>413.03</v>
      </c>
      <c r="C75" s="121">
        <f t="shared" si="34"/>
        <v>33</v>
      </c>
      <c r="D75" s="121">
        <f t="shared" si="34"/>
        <v>300.45</v>
      </c>
      <c r="E75" s="122">
        <f t="shared" si="34"/>
        <v>9541580.9800000004</v>
      </c>
      <c r="F75" s="122">
        <f t="shared" si="34"/>
        <v>470487</v>
      </c>
      <c r="G75" s="123">
        <f t="shared" si="34"/>
        <v>528438</v>
      </c>
      <c r="H75" s="124">
        <f t="shared" si="34"/>
        <v>10540505.98</v>
      </c>
      <c r="I75" s="125">
        <f t="shared" si="34"/>
        <v>937460</v>
      </c>
      <c r="J75" s="126">
        <f t="shared" si="34"/>
        <v>4458821</v>
      </c>
      <c r="K75" s="127">
        <f t="shared" si="34"/>
        <v>15936786.98</v>
      </c>
      <c r="L75" s="128">
        <f t="shared" si="34"/>
        <v>2749376.1500000004</v>
      </c>
      <c r="M75" s="129">
        <f t="shared" si="34"/>
        <v>1153342.1800000002</v>
      </c>
      <c r="N75" s="130">
        <f t="shared" si="34"/>
        <v>3902718.3299999996</v>
      </c>
      <c r="O75" s="131">
        <f t="shared" si="34"/>
        <v>3717699.9099999997</v>
      </c>
      <c r="P75" s="132">
        <f t="shared" si="34"/>
        <v>2048064.15</v>
      </c>
      <c r="Q75" s="133">
        <f t="shared" si="34"/>
        <v>5765764.0600000005</v>
      </c>
    </row>
    <row r="76" spans="1:20" s="39" customFormat="1" ht="11.25" x14ac:dyDescent="0.2">
      <c r="A76" s="166"/>
      <c r="B76" s="166"/>
      <c r="C76" s="166"/>
      <c r="D76" s="166"/>
      <c r="E76" s="166"/>
      <c r="F76" s="166"/>
      <c r="G76" s="166"/>
      <c r="H76" s="166"/>
      <c r="I76" s="166"/>
      <c r="J76" s="166"/>
      <c r="K76" s="166"/>
      <c r="L76" s="166"/>
      <c r="M76" s="166"/>
    </row>
    <row r="77" spans="1:20" x14ac:dyDescent="0.25">
      <c r="A77" s="149" t="s">
        <v>81</v>
      </c>
      <c r="B77" s="157" t="s">
        <v>95</v>
      </c>
      <c r="C77" s="144"/>
      <c r="D77" s="144"/>
      <c r="E77" s="144"/>
      <c r="F77" s="144"/>
      <c r="G77" s="144"/>
      <c r="H77" s="144"/>
      <c r="I77" s="144"/>
      <c r="J77" s="144"/>
      <c r="K77" s="144"/>
      <c r="L77" s="144"/>
      <c r="M77" s="145"/>
      <c r="N77" s="145"/>
      <c r="O77" s="145"/>
      <c r="P77" s="145"/>
      <c r="Q77" s="145"/>
      <c r="R77" s="145"/>
      <c r="S77" s="145"/>
      <c r="T77" s="145"/>
    </row>
    <row r="78" spans="1:20" x14ac:dyDescent="0.25">
      <c r="A78" s="142"/>
      <c r="B78" s="144"/>
      <c r="C78" s="144"/>
      <c r="D78" s="144"/>
      <c r="E78" s="144"/>
      <c r="F78" s="144"/>
      <c r="G78" s="144"/>
      <c r="H78" s="144"/>
      <c r="I78" s="144"/>
      <c r="J78" s="144"/>
      <c r="K78" s="144"/>
      <c r="L78" s="144"/>
      <c r="M78" s="145"/>
      <c r="N78" s="145"/>
      <c r="O78" s="145"/>
      <c r="P78" s="145"/>
      <c r="Q78" s="145"/>
      <c r="R78" s="145"/>
      <c r="S78" s="145"/>
      <c r="T78" s="145"/>
    </row>
    <row r="79" spans="1:20" x14ac:dyDescent="0.25">
      <c r="A79" s="149" t="s">
        <v>82</v>
      </c>
      <c r="B79" s="144" t="s">
        <v>91</v>
      </c>
      <c r="C79" s="144"/>
      <c r="D79" s="144"/>
      <c r="E79" s="144"/>
      <c r="F79" s="144"/>
      <c r="G79" s="144"/>
      <c r="H79" s="144"/>
      <c r="I79" s="144"/>
      <c r="J79" s="144"/>
      <c r="K79" s="144"/>
      <c r="L79" s="144"/>
      <c r="M79" s="144"/>
      <c r="N79" s="145"/>
      <c r="O79" s="145"/>
      <c r="P79" s="145"/>
      <c r="Q79" s="145"/>
      <c r="R79" s="145"/>
      <c r="S79" s="145"/>
      <c r="T79" s="145"/>
    </row>
    <row r="80" spans="1:20" x14ac:dyDescent="0.25">
      <c r="A80" s="142"/>
      <c r="B80" s="144" t="s">
        <v>92</v>
      </c>
      <c r="C80" s="144"/>
      <c r="D80" s="144"/>
      <c r="E80" s="144"/>
      <c r="F80" s="144"/>
      <c r="G80" s="144"/>
      <c r="H80" s="144"/>
      <c r="I80" s="144"/>
      <c r="J80" s="144"/>
      <c r="K80" s="144"/>
      <c r="L80" s="144"/>
      <c r="M80" s="144"/>
      <c r="N80" s="145"/>
      <c r="O80" s="145"/>
      <c r="P80" s="145"/>
      <c r="Q80" s="145"/>
      <c r="R80" s="145"/>
      <c r="S80" s="145"/>
      <c r="T80" s="145"/>
    </row>
    <row r="81" spans="1:25" x14ac:dyDescent="0.25">
      <c r="A81" s="143"/>
      <c r="B81" s="146" t="s">
        <v>90</v>
      </c>
      <c r="C81" s="146"/>
      <c r="D81" s="146"/>
      <c r="E81" s="146"/>
      <c r="F81" s="146"/>
      <c r="G81" s="146"/>
      <c r="H81" s="146"/>
      <c r="I81" s="146"/>
      <c r="J81" s="146"/>
      <c r="K81" s="146"/>
      <c r="L81" s="146"/>
      <c r="M81" s="146"/>
      <c r="N81" s="145"/>
      <c r="O81" s="145"/>
      <c r="P81" s="145"/>
      <c r="Q81" s="145"/>
      <c r="R81" s="145"/>
      <c r="S81" s="145"/>
      <c r="T81" s="145"/>
    </row>
    <row r="82" spans="1:25" x14ac:dyDescent="0.25">
      <c r="A82" s="142"/>
      <c r="B82" s="146"/>
      <c r="C82" s="146"/>
      <c r="D82" s="146"/>
      <c r="E82" s="146"/>
      <c r="F82" s="146"/>
      <c r="G82" s="146"/>
      <c r="H82" s="146"/>
      <c r="I82" s="146"/>
      <c r="J82" s="146"/>
      <c r="K82" s="146"/>
      <c r="L82" s="146"/>
      <c r="M82" s="145"/>
      <c r="N82" s="145"/>
      <c r="O82" s="145"/>
      <c r="P82" s="145"/>
      <c r="Q82" s="145"/>
      <c r="R82" s="145"/>
      <c r="S82" s="145"/>
      <c r="T82" s="145"/>
    </row>
    <row r="83" spans="1:25" s="136" customFormat="1" ht="12.75" x14ac:dyDescent="0.2">
      <c r="A83" s="149" t="s">
        <v>80</v>
      </c>
      <c r="B83" s="144"/>
      <c r="C83" s="147"/>
      <c r="D83" s="147"/>
      <c r="E83" s="147"/>
      <c r="F83" s="147"/>
      <c r="G83" s="147"/>
      <c r="H83" s="147"/>
      <c r="I83" s="147"/>
      <c r="J83" s="147"/>
      <c r="K83" s="147"/>
      <c r="L83" s="147"/>
      <c r="M83" s="147"/>
      <c r="N83" s="145"/>
      <c r="O83" s="145"/>
      <c r="P83" s="145"/>
      <c r="Q83" s="145"/>
      <c r="R83" s="145"/>
      <c r="S83" s="145"/>
      <c r="T83" s="145"/>
    </row>
    <row r="84" spans="1:25" s="136" customFormat="1" ht="12.75" x14ac:dyDescent="0.2">
      <c r="A84" s="7"/>
      <c r="B84" s="144"/>
      <c r="C84" s="146"/>
      <c r="D84" s="146"/>
      <c r="E84" s="146"/>
      <c r="F84" s="146"/>
      <c r="G84" s="146"/>
      <c r="H84" s="146"/>
      <c r="I84" s="146"/>
      <c r="J84" s="146"/>
      <c r="K84" s="146"/>
      <c r="L84" s="146"/>
      <c r="M84" s="145"/>
      <c r="N84" s="145"/>
      <c r="O84" s="145"/>
      <c r="P84" s="145"/>
      <c r="Q84" s="145"/>
      <c r="R84" s="145"/>
      <c r="S84" s="145"/>
      <c r="T84" s="145"/>
    </row>
    <row r="85" spans="1:25" x14ac:dyDescent="0.25">
      <c r="A85" s="149" t="s">
        <v>83</v>
      </c>
      <c r="B85" s="144" t="s">
        <v>93</v>
      </c>
      <c r="C85" s="148"/>
      <c r="D85" s="148"/>
      <c r="E85" s="148"/>
      <c r="F85" s="148"/>
      <c r="G85" s="148"/>
      <c r="H85" s="148"/>
      <c r="I85" s="148"/>
      <c r="J85" s="148"/>
      <c r="K85" s="148"/>
      <c r="L85" s="148"/>
      <c r="M85" s="148"/>
      <c r="N85" s="145"/>
      <c r="O85" s="145"/>
      <c r="P85" s="145"/>
      <c r="Q85" s="145"/>
      <c r="R85" s="145"/>
      <c r="S85" s="145"/>
      <c r="T85" s="145"/>
    </row>
    <row r="86" spans="1:25" s="137" customFormat="1" x14ac:dyDescent="0.25">
      <c r="A86" s="149"/>
      <c r="B86" s="144" t="s">
        <v>94</v>
      </c>
      <c r="C86" s="148"/>
      <c r="D86" s="148"/>
      <c r="E86" s="148"/>
      <c r="F86" s="148"/>
      <c r="G86" s="148"/>
      <c r="H86" s="148"/>
      <c r="I86" s="148"/>
      <c r="J86" s="148"/>
      <c r="K86" s="148"/>
      <c r="L86" s="148"/>
      <c r="M86" s="148"/>
      <c r="N86" s="145"/>
      <c r="O86" s="145"/>
      <c r="P86" s="145"/>
      <c r="Q86" s="145"/>
      <c r="R86" s="145"/>
      <c r="S86" s="145"/>
      <c r="T86" s="145"/>
    </row>
    <row r="87" spans="1:25" x14ac:dyDescent="0.25">
      <c r="A87" s="7"/>
      <c r="B87" s="144"/>
      <c r="C87" s="144"/>
      <c r="D87" s="144"/>
      <c r="E87" s="144"/>
      <c r="F87" s="144"/>
      <c r="G87" s="144"/>
      <c r="H87" s="144"/>
      <c r="I87" s="144"/>
      <c r="J87" s="144"/>
      <c r="K87" s="144"/>
      <c r="L87" s="144"/>
      <c r="M87" s="144"/>
      <c r="N87" s="145"/>
      <c r="O87" s="145"/>
      <c r="P87" s="145"/>
      <c r="Q87" s="145"/>
      <c r="R87" s="145"/>
      <c r="S87" s="145"/>
      <c r="T87" s="145"/>
    </row>
    <row r="88" spans="1:25" x14ac:dyDescent="0.25">
      <c r="A88" s="149" t="s">
        <v>84</v>
      </c>
      <c r="B88" s="147" t="s">
        <v>89</v>
      </c>
      <c r="C88" s="147"/>
      <c r="D88" s="147"/>
      <c r="E88" s="147"/>
      <c r="F88" s="147"/>
      <c r="G88" s="147"/>
      <c r="H88" s="147"/>
      <c r="I88" s="147"/>
      <c r="J88" s="147"/>
      <c r="K88" s="147"/>
      <c r="L88" s="147"/>
      <c r="M88" s="147"/>
      <c r="N88" s="153"/>
      <c r="S88" s="145"/>
      <c r="U88" s="153"/>
      <c r="V88" s="153"/>
      <c r="W88" s="153"/>
      <c r="X88" s="153"/>
      <c r="Y88" s="153"/>
    </row>
    <row r="89" spans="1:25" x14ac:dyDescent="0.25">
      <c r="A89" s="168"/>
      <c r="B89" s="168"/>
      <c r="C89" s="168"/>
      <c r="D89" s="168"/>
      <c r="E89" s="168"/>
      <c r="F89" s="168"/>
      <c r="G89" s="168"/>
      <c r="H89" s="168"/>
      <c r="I89" s="168"/>
      <c r="J89" s="168"/>
      <c r="K89" s="168"/>
      <c r="L89" s="168"/>
      <c r="M89" s="168"/>
      <c r="N89" s="153"/>
      <c r="U89" s="153"/>
      <c r="V89" s="153"/>
      <c r="W89" s="153"/>
      <c r="X89" s="153"/>
      <c r="Y89" s="153"/>
    </row>
    <row r="90" spans="1:25" s="151" customFormat="1" x14ac:dyDescent="0.25">
      <c r="A90" s="142"/>
      <c r="B90" s="144"/>
      <c r="C90" s="144"/>
      <c r="D90" s="144"/>
      <c r="E90" s="144"/>
      <c r="F90" s="144"/>
      <c r="G90" s="144"/>
      <c r="H90" s="144"/>
      <c r="I90" s="144"/>
      <c r="J90" s="144"/>
      <c r="K90" s="144"/>
      <c r="L90" s="144"/>
      <c r="M90" s="145"/>
      <c r="N90" s="154"/>
      <c r="S90" s="145"/>
      <c r="U90" s="154"/>
      <c r="V90" s="154"/>
      <c r="W90" s="154"/>
      <c r="X90" s="154"/>
      <c r="Y90" s="154"/>
    </row>
    <row r="91" spans="1:25" x14ac:dyDescent="0.25">
      <c r="A91" s="167"/>
      <c r="B91" s="167"/>
      <c r="C91" s="167"/>
      <c r="D91" s="167"/>
      <c r="E91" s="167"/>
      <c r="F91" s="167"/>
      <c r="G91" s="167"/>
      <c r="H91" s="167"/>
      <c r="I91" s="167"/>
      <c r="J91" s="167"/>
      <c r="K91" s="167"/>
      <c r="L91" s="167"/>
      <c r="M91" s="167"/>
    </row>
    <row r="92" spans="1:25" x14ac:dyDescent="0.25">
      <c r="A92" s="167"/>
      <c r="B92" s="167"/>
      <c r="C92" s="167"/>
      <c r="D92" s="167"/>
      <c r="E92" s="167"/>
      <c r="F92" s="167"/>
      <c r="G92" s="167"/>
      <c r="H92" s="167"/>
      <c r="I92" s="167"/>
      <c r="J92" s="167"/>
      <c r="K92" s="167"/>
      <c r="L92" s="167"/>
      <c r="M92" s="167"/>
    </row>
    <row r="93" spans="1:25" x14ac:dyDescent="0.25">
      <c r="A93" s="167"/>
      <c r="B93" s="167"/>
      <c r="C93" s="167"/>
      <c r="D93" s="167"/>
      <c r="E93" s="167"/>
      <c r="F93" s="167"/>
      <c r="G93" s="167"/>
      <c r="H93" s="167"/>
      <c r="I93" s="167"/>
      <c r="J93" s="167"/>
      <c r="K93" s="167"/>
      <c r="L93" s="167"/>
      <c r="M93" s="167"/>
    </row>
    <row r="94" spans="1:25" x14ac:dyDescent="0.25">
      <c r="A94" s="167"/>
      <c r="B94" s="167"/>
      <c r="C94" s="167"/>
      <c r="D94" s="167"/>
      <c r="E94" s="167"/>
      <c r="F94" s="167"/>
      <c r="G94" s="167"/>
      <c r="H94" s="167"/>
      <c r="I94" s="167"/>
      <c r="J94" s="167"/>
      <c r="K94" s="167"/>
      <c r="L94" s="167"/>
      <c r="M94" s="167"/>
    </row>
    <row r="95" spans="1:25" x14ac:dyDescent="0.25">
      <c r="A95" s="167"/>
      <c r="B95" s="167"/>
      <c r="C95" s="167"/>
      <c r="D95" s="167"/>
      <c r="E95" s="167"/>
      <c r="F95" s="167"/>
      <c r="G95" s="167"/>
      <c r="H95" s="167"/>
      <c r="I95" s="167"/>
      <c r="J95" s="167"/>
      <c r="K95" s="167"/>
      <c r="L95" s="167"/>
      <c r="M95" s="167"/>
    </row>
    <row r="96" spans="1:25" x14ac:dyDescent="0.25">
      <c r="A96" s="167"/>
      <c r="B96" s="167"/>
      <c r="C96" s="167"/>
      <c r="D96" s="167"/>
      <c r="E96" s="167"/>
      <c r="F96" s="167"/>
      <c r="G96" s="167"/>
      <c r="H96" s="167"/>
      <c r="I96" s="167"/>
      <c r="J96" s="167"/>
      <c r="K96" s="167"/>
      <c r="L96" s="167"/>
      <c r="M96" s="167"/>
    </row>
    <row r="97" spans="1:13" x14ac:dyDescent="0.25">
      <c r="A97" s="167"/>
      <c r="B97" s="167"/>
      <c r="C97" s="167"/>
      <c r="D97" s="167"/>
      <c r="E97" s="167"/>
      <c r="F97" s="167"/>
      <c r="G97" s="167"/>
      <c r="H97" s="167"/>
      <c r="I97" s="167"/>
      <c r="J97" s="167"/>
      <c r="K97" s="167"/>
      <c r="L97" s="167"/>
      <c r="M97" s="167"/>
    </row>
    <row r="98" spans="1:13" x14ac:dyDescent="0.25">
      <c r="A98" s="167"/>
      <c r="B98" s="167"/>
      <c r="C98" s="167"/>
      <c r="D98" s="167"/>
      <c r="E98" s="167"/>
      <c r="F98" s="167"/>
      <c r="G98" s="167"/>
      <c r="H98" s="167"/>
      <c r="I98" s="167"/>
      <c r="J98" s="167"/>
      <c r="K98" s="167"/>
      <c r="L98" s="167"/>
      <c r="M98" s="167"/>
    </row>
    <row r="99" spans="1:13" x14ac:dyDescent="0.25">
      <c r="A99" s="167"/>
      <c r="B99" s="167"/>
      <c r="C99" s="167"/>
      <c r="D99" s="167"/>
      <c r="E99" s="167"/>
      <c r="F99" s="167"/>
      <c r="G99" s="167"/>
      <c r="H99" s="167"/>
      <c r="I99" s="167"/>
      <c r="J99" s="167"/>
      <c r="K99" s="167"/>
      <c r="L99" s="167"/>
      <c r="M99" s="167"/>
    </row>
  </sheetData>
  <mergeCells count="14">
    <mergeCell ref="B3:K3"/>
    <mergeCell ref="L3:N3"/>
    <mergeCell ref="O3:Q3"/>
    <mergeCell ref="A76:M76"/>
    <mergeCell ref="A99:M99"/>
    <mergeCell ref="A91:M91"/>
    <mergeCell ref="A92:M92"/>
    <mergeCell ref="A93:M93"/>
    <mergeCell ref="A94:M94"/>
    <mergeCell ref="A95:M95"/>
    <mergeCell ref="A96:M96"/>
    <mergeCell ref="A97:M97"/>
    <mergeCell ref="A98:M98"/>
    <mergeCell ref="A89:M89"/>
  </mergeCells>
  <printOptions horizontalCentered="1"/>
  <pageMargins left="0.2" right="0" top="0.25" bottom="0.25" header="0.3" footer="0.05"/>
  <pageSetup scale="70" orientation="landscape" horizontalDpi="4294967292" verticalDpi="4294967292" r:id="rId1"/>
  <headerFooter>
    <oddFooter>&amp;R&amp;"-,Italic"&amp;8&amp;K03+000&amp;F/&amp;D/jenna</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EPRC</dc:creator>
  <dc:description>like alternative template 1b, but with one-time and baseline differentiated, plus a column differentiating perm. TT from perm. lecturers</dc:description>
  <cp:lastModifiedBy>Jenna Aguirre</cp:lastModifiedBy>
  <cp:lastPrinted>2017-08-09T17:24:27Z</cp:lastPrinted>
  <dcterms:created xsi:type="dcterms:W3CDTF">2013-07-18T23:38:31Z</dcterms:created>
  <dcterms:modified xsi:type="dcterms:W3CDTF">2017-08-23T20:48:35Z</dcterms:modified>
</cp:coreProperties>
</file>