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003926740\Documents\"/>
    </mc:Choice>
  </mc:AlternateContent>
  <bookViews>
    <workbookView xWindow="36" yWindow="120" windowWidth="14592" windowHeight="1465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Sheet1!$A$5:$Q$75</definedName>
    <definedName name="_xlnm.Print_Titles" localSheetId="0">Sheet1!$1:$4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4" i="1" l="1"/>
  <c r="Q13" i="1"/>
  <c r="Q12" i="1"/>
  <c r="Q11" i="1"/>
  <c r="Q10" i="1"/>
  <c r="Q9" i="1"/>
  <c r="Q8" i="1"/>
  <c r="Q7" i="1"/>
  <c r="Q6" i="1"/>
  <c r="N14" i="1" l="1"/>
  <c r="N13" i="1"/>
  <c r="N12" i="1"/>
  <c r="N11" i="1"/>
  <c r="N10" i="1"/>
  <c r="N9" i="1"/>
  <c r="N8" i="1"/>
  <c r="N7" i="1"/>
  <c r="N6" i="1"/>
  <c r="K14" i="1"/>
  <c r="K13" i="1"/>
  <c r="K12" i="1"/>
  <c r="K11" i="1"/>
  <c r="K10" i="1"/>
  <c r="K9" i="1"/>
  <c r="K8" i="1"/>
  <c r="K7" i="1"/>
  <c r="K6" i="1"/>
  <c r="H14" i="1"/>
  <c r="H13" i="1"/>
  <c r="H12" i="1"/>
  <c r="H11" i="1"/>
  <c r="H10" i="1"/>
  <c r="H9" i="1"/>
  <c r="H8" i="1"/>
  <c r="H7" i="1"/>
  <c r="H6" i="1"/>
  <c r="E6" i="1"/>
  <c r="P73" i="1" l="1"/>
  <c r="O73" i="1"/>
  <c r="M73" i="1"/>
  <c r="J73" i="1"/>
  <c r="I73" i="1"/>
  <c r="G73" i="1"/>
  <c r="F73" i="1"/>
  <c r="E73" i="1"/>
  <c r="C73" i="1"/>
  <c r="Q72" i="1"/>
  <c r="L72" i="1"/>
  <c r="N72" i="1" s="1"/>
  <c r="H72" i="1"/>
  <c r="K72" i="1" s="1"/>
  <c r="D72" i="1"/>
  <c r="D73" i="1" s="1"/>
  <c r="Q71" i="1"/>
  <c r="N71" i="1"/>
  <c r="H71" i="1"/>
  <c r="K71" i="1" s="1"/>
  <c r="Q70" i="1"/>
  <c r="N70" i="1"/>
  <c r="H70" i="1"/>
  <c r="K70" i="1" s="1"/>
  <c r="Q69" i="1"/>
  <c r="N69" i="1"/>
  <c r="L69" i="1"/>
  <c r="H69" i="1"/>
  <c r="K69" i="1" s="1"/>
  <c r="B69" i="1"/>
  <c r="Q68" i="1"/>
  <c r="L68" i="1"/>
  <c r="N68" i="1" s="1"/>
  <c r="G68" i="1"/>
  <c r="E68" i="1"/>
  <c r="H68" i="1" s="1"/>
  <c r="K68" i="1" s="1"/>
  <c r="Q67" i="1"/>
  <c r="L67" i="1"/>
  <c r="N67" i="1" s="1"/>
  <c r="H67" i="1"/>
  <c r="K67" i="1" s="1"/>
  <c r="B67" i="1"/>
  <c r="Q66" i="1"/>
  <c r="L66" i="1"/>
  <c r="N66" i="1" s="1"/>
  <c r="H66" i="1"/>
  <c r="K66" i="1" s="1"/>
  <c r="B66" i="1"/>
  <c r="B73" i="1" s="1"/>
  <c r="Q65" i="1"/>
  <c r="N65" i="1"/>
  <c r="L65" i="1"/>
  <c r="H65" i="1"/>
  <c r="K65" i="1" s="1"/>
  <c r="B65" i="1"/>
  <c r="Q64" i="1"/>
  <c r="L64" i="1"/>
  <c r="N64" i="1" s="1"/>
  <c r="H64" i="1"/>
  <c r="K64" i="1" s="1"/>
  <c r="B64" i="1"/>
  <c r="Q63" i="1"/>
  <c r="L63" i="1"/>
  <c r="N63" i="1" s="1"/>
  <c r="H63" i="1"/>
  <c r="K63" i="1" s="1"/>
  <c r="Q62" i="1"/>
  <c r="L62" i="1"/>
  <c r="N62" i="1" s="1"/>
  <c r="H62" i="1"/>
  <c r="K62" i="1" s="1"/>
  <c r="B62" i="1"/>
  <c r="Q61" i="1"/>
  <c r="N61" i="1"/>
  <c r="L61" i="1"/>
  <c r="H61" i="1"/>
  <c r="K61" i="1" s="1"/>
  <c r="Q60" i="1"/>
  <c r="Q73" i="1" s="1"/>
  <c r="L60" i="1"/>
  <c r="N60" i="1" s="1"/>
  <c r="N73" i="1" s="1"/>
  <c r="H60" i="1"/>
  <c r="H73" i="1" l="1"/>
  <c r="K73" i="1" s="1"/>
  <c r="K60" i="1"/>
  <c r="L73" i="1"/>
  <c r="P44" i="1"/>
  <c r="O44" i="1"/>
  <c r="Q44" i="1" s="1"/>
  <c r="M44" i="1"/>
  <c r="I44" i="1"/>
  <c r="G44" i="1"/>
  <c r="F44" i="1"/>
  <c r="E44" i="1"/>
  <c r="D44" i="1"/>
  <c r="C44" i="1"/>
  <c r="B44" i="1"/>
  <c r="Q43" i="1"/>
  <c r="L43" i="1"/>
  <c r="N43" i="1" s="1"/>
  <c r="J43" i="1"/>
  <c r="H43" i="1"/>
  <c r="K43" i="1" s="1"/>
  <c r="Q42" i="1"/>
  <c r="N42" i="1"/>
  <c r="H42" i="1"/>
  <c r="K42" i="1" s="1"/>
  <c r="Q41" i="1"/>
  <c r="L41" i="1"/>
  <c r="N41" i="1" s="1"/>
  <c r="K41" i="1"/>
  <c r="J41" i="1"/>
  <c r="H41" i="1"/>
  <c r="Q40" i="1"/>
  <c r="L40" i="1"/>
  <c r="N40" i="1" s="1"/>
  <c r="J40" i="1"/>
  <c r="H40" i="1"/>
  <c r="K40" i="1" s="1"/>
  <c r="Q39" i="1"/>
  <c r="L39" i="1"/>
  <c r="N39" i="1" s="1"/>
  <c r="J39" i="1"/>
  <c r="H39" i="1"/>
  <c r="K39" i="1" s="1"/>
  <c r="Q38" i="1"/>
  <c r="N38" i="1"/>
  <c r="K38" i="1"/>
  <c r="H38" i="1"/>
  <c r="Q37" i="1"/>
  <c r="L37" i="1"/>
  <c r="N37" i="1" s="1"/>
  <c r="K37" i="1"/>
  <c r="H37" i="1"/>
  <c r="Q36" i="1"/>
  <c r="N36" i="1"/>
  <c r="L36" i="1"/>
  <c r="J36" i="1"/>
  <c r="H36" i="1"/>
  <c r="K36" i="1" s="1"/>
  <c r="Q35" i="1"/>
  <c r="L35" i="1"/>
  <c r="N35" i="1" s="1"/>
  <c r="K35" i="1"/>
  <c r="J35" i="1"/>
  <c r="H35" i="1"/>
  <c r="Q34" i="1"/>
  <c r="L34" i="1"/>
  <c r="N34" i="1" s="1"/>
  <c r="J34" i="1"/>
  <c r="K34" i="1" s="1"/>
  <c r="H34" i="1"/>
  <c r="Q33" i="1"/>
  <c r="L33" i="1"/>
  <c r="N33" i="1" s="1"/>
  <c r="J33" i="1"/>
  <c r="J44" i="1" s="1"/>
  <c r="H33" i="1"/>
  <c r="K33" i="1" s="1"/>
  <c r="L44" i="1" l="1"/>
  <c r="N44" i="1" s="1"/>
  <c r="H44" i="1"/>
  <c r="K44" i="1" s="1"/>
  <c r="P58" i="1" l="1"/>
  <c r="O58" i="1"/>
  <c r="M58" i="1"/>
  <c r="L58" i="1"/>
  <c r="J58" i="1"/>
  <c r="I58" i="1"/>
  <c r="G58" i="1"/>
  <c r="F58" i="1"/>
  <c r="E58" i="1"/>
  <c r="D58" i="1"/>
  <c r="C58" i="1"/>
  <c r="B58" i="1"/>
  <c r="Q57" i="1"/>
  <c r="N57" i="1"/>
  <c r="H57" i="1"/>
  <c r="K57" i="1" s="1"/>
  <c r="Q56" i="1"/>
  <c r="N56" i="1"/>
  <c r="H56" i="1"/>
  <c r="K56" i="1" s="1"/>
  <c r="Q55" i="1"/>
  <c r="N55" i="1"/>
  <c r="H55" i="1"/>
  <c r="K55" i="1" s="1"/>
  <c r="Q54" i="1"/>
  <c r="N54" i="1"/>
  <c r="H54" i="1"/>
  <c r="K54" i="1" s="1"/>
  <c r="Q53" i="1"/>
  <c r="N53" i="1"/>
  <c r="H53" i="1"/>
  <c r="K53" i="1" s="1"/>
  <c r="Q52" i="1"/>
  <c r="N52" i="1"/>
  <c r="H52" i="1"/>
  <c r="K52" i="1" s="1"/>
  <c r="Q51" i="1"/>
  <c r="N51" i="1"/>
  <c r="H51" i="1"/>
  <c r="K51" i="1" s="1"/>
  <c r="Q50" i="1"/>
  <c r="N50" i="1"/>
  <c r="H50" i="1"/>
  <c r="K50" i="1" s="1"/>
  <c r="Q49" i="1"/>
  <c r="N49" i="1"/>
  <c r="H49" i="1"/>
  <c r="K49" i="1" s="1"/>
  <c r="Q48" i="1"/>
  <c r="N48" i="1"/>
  <c r="H48" i="1"/>
  <c r="K48" i="1" s="1"/>
  <c r="Q47" i="1"/>
  <c r="Q58" i="1" s="1"/>
  <c r="N47" i="1"/>
  <c r="H47" i="1"/>
  <c r="K47" i="1" s="1"/>
  <c r="Q46" i="1"/>
  <c r="N46" i="1"/>
  <c r="N58" i="1" s="1"/>
  <c r="H46" i="1"/>
  <c r="H58" i="1" s="1"/>
  <c r="K58" i="1" s="1"/>
  <c r="K46" i="1" l="1"/>
  <c r="Q23" i="1" l="1"/>
  <c r="P23" i="1"/>
  <c r="O23" i="1"/>
  <c r="M23" i="1"/>
  <c r="L23" i="1"/>
  <c r="N23" i="1" s="1"/>
  <c r="J23" i="1"/>
  <c r="I23" i="1"/>
  <c r="G23" i="1"/>
  <c r="F23" i="1"/>
  <c r="E23" i="1"/>
  <c r="D23" i="1"/>
  <c r="C23" i="1"/>
  <c r="Q22" i="1"/>
  <c r="N22" i="1"/>
  <c r="H22" i="1"/>
  <c r="K22" i="1" s="1"/>
  <c r="Q21" i="1"/>
  <c r="N21" i="1"/>
  <c r="H21" i="1"/>
  <c r="K21" i="1" s="1"/>
  <c r="Q20" i="1"/>
  <c r="N20" i="1"/>
  <c r="H20" i="1"/>
  <c r="K20" i="1" s="1"/>
  <c r="Q19" i="1"/>
  <c r="N19" i="1"/>
  <c r="H19" i="1"/>
  <c r="K19" i="1" s="1"/>
  <c r="Q18" i="1"/>
  <c r="N18" i="1"/>
  <c r="H18" i="1"/>
  <c r="K18" i="1" s="1"/>
  <c r="Q17" i="1"/>
  <c r="N17" i="1"/>
  <c r="H17" i="1"/>
  <c r="H23" i="1" s="1"/>
  <c r="K23" i="1" s="1"/>
  <c r="B17" i="1"/>
  <c r="B23" i="1" s="1"/>
  <c r="K17" i="1" l="1"/>
  <c r="P29" i="1" l="1"/>
  <c r="L29" i="1" l="1"/>
  <c r="L27" i="1"/>
  <c r="L26" i="1"/>
  <c r="M28" i="1"/>
  <c r="L25" i="1" l="1"/>
  <c r="M30" i="1"/>
  <c r="M29" i="1"/>
  <c r="M27" i="1"/>
  <c r="M26" i="1"/>
  <c r="O29" i="1" l="1"/>
  <c r="J30" i="1" l="1"/>
  <c r="J29" i="1" l="1"/>
  <c r="J27" i="1"/>
  <c r="J26" i="1"/>
  <c r="E29" i="1" l="1"/>
  <c r="B29" i="1"/>
  <c r="B27" i="1"/>
  <c r="H30" i="1" l="1"/>
  <c r="Q30" i="1"/>
  <c r="N30" i="1"/>
  <c r="Q29" i="1"/>
  <c r="N29" i="1"/>
  <c r="H29" i="1"/>
  <c r="K29" i="1" s="1"/>
  <c r="Q28" i="1"/>
  <c r="N28" i="1"/>
  <c r="H28" i="1"/>
  <c r="K28" i="1" s="1"/>
  <c r="Q27" i="1"/>
  <c r="N27" i="1"/>
  <c r="H27" i="1"/>
  <c r="K27" i="1" s="1"/>
  <c r="Q26" i="1"/>
  <c r="N26" i="1"/>
  <c r="H26" i="1"/>
  <c r="K26" i="1" s="1"/>
  <c r="Q25" i="1"/>
  <c r="N25" i="1"/>
  <c r="H25" i="1"/>
  <c r="F15" i="1"/>
  <c r="F74" i="1" s="1"/>
  <c r="P31" i="1"/>
  <c r="O31" i="1"/>
  <c r="M31" i="1"/>
  <c r="M15" i="1"/>
  <c r="N15" i="1" s="1"/>
  <c r="L31" i="1"/>
  <c r="L74" i="1" s="1"/>
  <c r="P15" i="1"/>
  <c r="O15" i="1"/>
  <c r="Q15" i="1" s="1"/>
  <c r="L15" i="1"/>
  <c r="I15" i="1"/>
  <c r="J15" i="1"/>
  <c r="G31" i="1"/>
  <c r="F31" i="1"/>
  <c r="C31" i="1"/>
  <c r="C74" i="1" s="1"/>
  <c r="C15" i="1"/>
  <c r="I31" i="1"/>
  <c r="J31" i="1"/>
  <c r="D15" i="1"/>
  <c r="D31" i="1"/>
  <c r="E15" i="1"/>
  <c r="E31" i="1"/>
  <c r="G15" i="1"/>
  <c r="B15" i="1"/>
  <c r="B31" i="1"/>
  <c r="H15" i="1"/>
  <c r="P74" i="1" l="1"/>
  <c r="O74" i="1"/>
  <c r="M74" i="1"/>
  <c r="K15" i="1"/>
  <c r="I74" i="1"/>
  <c r="J74" i="1"/>
  <c r="G74" i="1"/>
  <c r="E74" i="1"/>
  <c r="D74" i="1"/>
  <c r="B74" i="1"/>
  <c r="Q31" i="1"/>
  <c r="Q74" i="1" s="1"/>
  <c r="N31" i="1"/>
  <c r="N74" i="1" s="1"/>
  <c r="H31" i="1"/>
  <c r="H74" i="1" s="1"/>
  <c r="K30" i="1"/>
  <c r="K31" i="1" l="1"/>
  <c r="K74" i="1" s="1"/>
</calcChain>
</file>

<file path=xl/sharedStrings.xml><?xml version="1.0" encoding="utf-8"?>
<sst xmlns="http://schemas.openxmlformats.org/spreadsheetml/2006/main" count="111" uniqueCount="103">
  <si>
    <t xml:space="preserve">  Accounting &amp; Finance</t>
  </si>
  <si>
    <t xml:space="preserve">  Management</t>
  </si>
  <si>
    <t xml:space="preserve">  Marketing</t>
  </si>
  <si>
    <t xml:space="preserve">  Public Admin/MPA</t>
  </si>
  <si>
    <t>College of Education</t>
  </si>
  <si>
    <t xml:space="preserve">  Academic Administration</t>
  </si>
  <si>
    <t xml:space="preserve">  Art</t>
  </si>
  <si>
    <t xml:space="preserve">  Communications</t>
  </si>
  <si>
    <t xml:space="preserve">  English</t>
  </si>
  <si>
    <t xml:space="preserve">  Liberal Studies</t>
  </si>
  <si>
    <t xml:space="preserve">  Music</t>
  </si>
  <si>
    <t xml:space="preserve">  Philosophy</t>
  </si>
  <si>
    <t xml:space="preserve">  Theater Arts</t>
  </si>
  <si>
    <t xml:space="preserve">  Fullerton Art Museum</t>
  </si>
  <si>
    <t>College of Natural Sciences</t>
  </si>
  <si>
    <t xml:space="preserve">  Biology</t>
  </si>
  <si>
    <t xml:space="preserve">  Chemistry</t>
  </si>
  <si>
    <t xml:space="preserve">  Computer Science &amp; Eng</t>
  </si>
  <si>
    <t xml:space="preserve">  Health Science</t>
  </si>
  <si>
    <t xml:space="preserve">  Mathematics</t>
  </si>
  <si>
    <t xml:space="preserve">  Nursing</t>
  </si>
  <si>
    <t xml:space="preserve">  Kinesiology</t>
  </si>
  <si>
    <t xml:space="preserve">  Physics</t>
  </si>
  <si>
    <t xml:space="preserve">  Geology</t>
  </si>
  <si>
    <t xml:space="preserve">  Animal House</t>
  </si>
  <si>
    <t>College of Social and Behavioral Sciences</t>
  </si>
  <si>
    <t xml:space="preserve">  Anthropology</t>
  </si>
  <si>
    <t xml:space="preserve">  Criminal Justice</t>
  </si>
  <si>
    <t xml:space="preserve">  Economics</t>
  </si>
  <si>
    <t xml:space="preserve">  Geography &amp; Envr Studies</t>
  </si>
  <si>
    <t xml:space="preserve">  History</t>
  </si>
  <si>
    <t xml:space="preserve">  Political Science</t>
  </si>
  <si>
    <t xml:space="preserve">  Psychology</t>
  </si>
  <si>
    <t xml:space="preserve">  Social Work</t>
  </si>
  <si>
    <t xml:space="preserve">  Military Science</t>
  </si>
  <si>
    <t xml:space="preserve">  Info/Decision Sciences</t>
  </si>
  <si>
    <t>College of Arts and Letters</t>
  </si>
  <si>
    <t>Academic Affairs Central Offices</t>
  </si>
  <si>
    <t xml:space="preserve">  Academic Affairs </t>
  </si>
  <si>
    <t xml:space="preserve">  Research &amp; Sponsored Pgms</t>
  </si>
  <si>
    <t xml:space="preserve">  Graduate Studies</t>
  </si>
  <si>
    <t xml:space="preserve">  Undergraduate Programs</t>
  </si>
  <si>
    <t xml:space="preserve">  Office of Community Engmt</t>
  </si>
  <si>
    <t xml:space="preserve">  Palm Desert Campus</t>
  </si>
  <si>
    <t xml:space="preserve">  Academic Senate</t>
  </si>
  <si>
    <t xml:space="preserve">  Center for Intnl Stds &amp; Pgms</t>
  </si>
  <si>
    <t xml:space="preserve">  Library</t>
  </si>
  <si>
    <t>Total</t>
  </si>
  <si>
    <t xml:space="preserve">  World Languages &amp; Literature</t>
  </si>
  <si>
    <t xml:space="preserve">  Humanities</t>
  </si>
  <si>
    <t xml:space="preserve">  Natural Sciences</t>
  </si>
  <si>
    <t xml:space="preserve">  Social Sciences</t>
  </si>
  <si>
    <t>BASELINE FUNDING</t>
  </si>
  <si>
    <t>ONE-TIME FUNDS</t>
  </si>
  <si>
    <t>Total One-Time Funds</t>
  </si>
  <si>
    <t>Total Restricted One-Time funds</t>
  </si>
  <si>
    <t>RESTRICTED ONE-TIME FUNDS</t>
  </si>
  <si>
    <t>Perm Fac FTE</t>
  </si>
  <si>
    <t>Lecturer FTE</t>
  </si>
  <si>
    <t>Perm Mgmt/ Staff FTE</t>
  </si>
  <si>
    <t>Temp Faculty Funding</t>
  </si>
  <si>
    <t>Temp Mgmt/ Staff Funding</t>
  </si>
  <si>
    <t>Assistant Funding</t>
  </si>
  <si>
    <t>Unallocated Baseline /Resv</t>
  </si>
  <si>
    <t>O&amp;E Funding</t>
  </si>
  <si>
    <t>Total Temporary Personnel Funding</t>
  </si>
  <si>
    <t>CERF accounts</t>
  </si>
  <si>
    <t>Total   Baseline Funds (Temp &amp; OE)</t>
  </si>
  <si>
    <t>Academic Affairs Division Total</t>
  </si>
  <si>
    <t>Previous Year Rollover</t>
  </si>
  <si>
    <t>Doctoral Studies</t>
  </si>
  <si>
    <t>Educational Leadership &amp; Technology</t>
  </si>
  <si>
    <t>Special Education, Rehabilitation &amp; Counseling</t>
  </si>
  <si>
    <t>Student Services</t>
  </si>
  <si>
    <t>Teacher Education &amp; Foundations</t>
  </si>
  <si>
    <t>Academic Administration</t>
  </si>
  <si>
    <t xml:space="preserve">  Sociology</t>
  </si>
  <si>
    <t xml:space="preserve">  Learning Research Institue</t>
  </si>
  <si>
    <t xml:space="preserve">COE Notes:  </t>
  </si>
  <si>
    <t xml:space="preserve">CAL Notes:  </t>
  </si>
  <si>
    <t xml:space="preserve">CNS Notes:  </t>
  </si>
  <si>
    <t xml:space="preserve">CSBS Notes:  </t>
  </si>
  <si>
    <t>Jack H. Brown College
Business and Public Administration</t>
  </si>
  <si>
    <t xml:space="preserve">JHBC Notes:  </t>
  </si>
  <si>
    <t>Academic Affairs Division Allocations for 2018-19</t>
  </si>
  <si>
    <t>Previous Year Obligated Rollover</t>
  </si>
  <si>
    <t>Additional 1x Funds</t>
  </si>
  <si>
    <t>Special Consultant pay counted under temp faculty pay for TPA Assessors in TEF.</t>
  </si>
  <si>
    <t>Each department includes SS, faculty travel and fieldwork mileage in O&amp;E funding.</t>
  </si>
  <si>
    <t>Academic Administration O&amp;E includes SS,  equipment for the entire college, Dean sponsored travel, software , equipment maintenance and Master Teacher stipends .</t>
  </si>
  <si>
    <t>Student Services rollover includes funds from fund simplification from their previous trust account ($16,006).</t>
  </si>
  <si>
    <t>Summer session funds noted in Administration 1x funds ($135).</t>
  </si>
  <si>
    <t xml:space="preserve">1x funds includes funds from AA; faculty recruitment, additional O&amp;E, Pt faculty fac salary </t>
  </si>
  <si>
    <t>Additional One time funds of $1,046,046 received for part-time faculty.</t>
  </si>
  <si>
    <t>1 FTLecturer not included … funded by 1x GINIT funds.</t>
  </si>
  <si>
    <t>Additional 1x funds include PT, O&amp;E, GI 2025, grants, misc faculty awards</t>
  </si>
  <si>
    <t xml:space="preserve">Staff FTE does not include SSPIII(paid with SSI funds) and temp Advising ASA(paid with Grad Init. Funds). </t>
  </si>
  <si>
    <t>Recruitment funds in Additional 1x column totals, $16,200</t>
  </si>
  <si>
    <t>Funds Received as a result of a Budget Request Form totals, $91,596</t>
  </si>
  <si>
    <t>FTEF includes a reduction in FERP for Pierce.</t>
  </si>
  <si>
    <t>SW  - FTEF does not include CEL funded TT position.</t>
  </si>
  <si>
    <t>Total position FTE is at 131.37 from 135.45 due to employee turnover (resignation/retirement)</t>
  </si>
  <si>
    <t>State O&amp;E allocation in Additional 1x , $84,009. Funds will be used for equipment purchases and faculty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</si>
</sst>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2" fontId="0" fillId="0" borderId="0" xfId="0" applyNumberFormat="1" applyAlignment="1"/>
    <xf numFmtId="0" fontId="0" fillId="0" borderId="0" xfId="0"/>
    <xf numFmtId="0" fontId="0" fillId="0" borderId="0" xfId="0"/>
    <xf numFmtId="0" fontId="0" fillId="0" borderId="0" xfId="0"/>
    <xf numFmtId="2" fontId="4" fillId="5" borderId="8" xfId="0" applyNumberFormat="1" applyFont="1" applyFill="1" applyBorder="1" applyAlignment="1">
      <alignment horizontal="center" wrapText="1"/>
    </xf>
    <xf numFmtId="0" fontId="6" fillId="0" borderId="0" xfId="0" applyFont="1"/>
    <xf numFmtId="2" fontId="6" fillId="0" borderId="0" xfId="0" applyNumberFormat="1" applyFont="1" applyAlignment="1"/>
    <xf numFmtId="0" fontId="4" fillId="0" borderId="26" xfId="0" applyFont="1" applyFill="1" applyBorder="1"/>
    <xf numFmtId="2" fontId="4" fillId="5" borderId="7" xfId="0" applyNumberFormat="1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22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4" fillId="4" borderId="22" xfId="0" applyFont="1" applyFill="1" applyBorder="1" applyAlignment="1">
      <alignment horizontal="center" wrapText="1"/>
    </xf>
    <xf numFmtId="0" fontId="4" fillId="8" borderId="7" xfId="0" applyFont="1" applyFill="1" applyBorder="1" applyAlignment="1">
      <alignment horizontal="center" wrapText="1"/>
    </xf>
    <xf numFmtId="0" fontId="4" fillId="8" borderId="22" xfId="0" applyFont="1" applyFill="1" applyBorder="1" applyAlignment="1">
      <alignment horizontal="center" wrapText="1"/>
    </xf>
    <xf numFmtId="0" fontId="4" fillId="9" borderId="8" xfId="0" applyFont="1" applyFill="1" applyBorder="1" applyAlignment="1">
      <alignment horizontal="center" wrapText="1"/>
    </xf>
    <xf numFmtId="0" fontId="4" fillId="9" borderId="9" xfId="0" applyFont="1" applyFill="1" applyBorder="1" applyAlignment="1">
      <alignment horizontal="center" wrapText="1"/>
    </xf>
    <xf numFmtId="0" fontId="4" fillId="9" borderId="22" xfId="0" applyFont="1" applyFill="1" applyBorder="1" applyAlignment="1">
      <alignment horizontal="center" wrapText="1"/>
    </xf>
    <xf numFmtId="0" fontId="7" fillId="0" borderId="0" xfId="0" applyFont="1"/>
    <xf numFmtId="0" fontId="9" fillId="2" borderId="10" xfId="0" applyFont="1" applyFill="1" applyBorder="1"/>
    <xf numFmtId="2" fontId="9" fillId="2" borderId="1" xfId="0" applyNumberFormat="1" applyFont="1" applyFill="1" applyBorder="1" applyAlignment="1">
      <alignment horizontal="center" wrapText="1"/>
    </xf>
    <xf numFmtId="2" fontId="9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0" fontId="9" fillId="8" borderId="2" xfId="0" applyFont="1" applyFill="1" applyBorder="1" applyAlignment="1">
      <alignment horizontal="center" wrapText="1"/>
    </xf>
    <xf numFmtId="0" fontId="9" fillId="8" borderId="23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9" borderId="23" xfId="0" applyFont="1" applyFill="1" applyBorder="1" applyAlignment="1">
      <alignment horizontal="center"/>
    </xf>
    <xf numFmtId="0" fontId="10" fillId="0" borderId="0" xfId="0" applyFont="1"/>
    <xf numFmtId="0" fontId="10" fillId="0" borderId="10" xfId="0" applyFont="1" applyFill="1" applyBorder="1"/>
    <xf numFmtId="2" fontId="10" fillId="0" borderId="1" xfId="0" applyNumberFormat="1" applyFont="1" applyFill="1" applyBorder="1" applyAlignment="1">
      <alignment wrapText="1"/>
    </xf>
    <xf numFmtId="2" fontId="10" fillId="0" borderId="2" xfId="0" applyNumberFormat="1" applyFont="1" applyFill="1" applyBorder="1" applyAlignment="1">
      <alignment wrapText="1"/>
    </xf>
    <xf numFmtId="38" fontId="10" fillId="0" borderId="2" xfId="0" applyNumberFormat="1" applyFont="1" applyFill="1" applyBorder="1" applyAlignment="1">
      <alignment wrapText="1"/>
    </xf>
    <xf numFmtId="38" fontId="10" fillId="0" borderId="23" xfId="0" applyNumberFormat="1" applyFont="1" applyFill="1" applyBorder="1" applyAlignment="1">
      <alignment wrapText="1"/>
    </xf>
    <xf numFmtId="38" fontId="10" fillId="0" borderId="16" xfId="0" applyNumberFormat="1" applyFont="1" applyFill="1" applyBorder="1" applyAlignment="1">
      <alignment wrapText="1"/>
    </xf>
    <xf numFmtId="38" fontId="10" fillId="0" borderId="0" xfId="0" applyNumberFormat="1" applyFont="1" applyFill="1" applyBorder="1" applyAlignment="1">
      <alignment wrapText="1"/>
    </xf>
    <xf numFmtId="38" fontId="10" fillId="0" borderId="1" xfId="0" applyNumberFormat="1" applyFont="1" applyFill="1" applyBorder="1" applyAlignment="1">
      <alignment wrapText="1"/>
    </xf>
    <xf numFmtId="38" fontId="10" fillId="0" borderId="23" xfId="0" applyNumberFormat="1" applyFont="1" applyFill="1" applyBorder="1" applyAlignment="1"/>
    <xf numFmtId="38" fontId="10" fillId="0" borderId="2" xfId="0" applyNumberFormat="1" applyFont="1" applyFill="1" applyBorder="1" applyAlignment="1"/>
    <xf numFmtId="38" fontId="10" fillId="0" borderId="3" xfId="0" applyNumberFormat="1" applyFont="1" applyFill="1" applyBorder="1" applyAlignment="1"/>
    <xf numFmtId="0" fontId="10" fillId="0" borderId="0" xfId="0" applyFont="1" applyFill="1"/>
    <xf numFmtId="0" fontId="10" fillId="0" borderId="10" xfId="0" applyFont="1" applyBorder="1" applyAlignment="1"/>
    <xf numFmtId="2" fontId="10" fillId="0" borderId="1" xfId="0" applyNumberFormat="1" applyFont="1" applyBorder="1" applyAlignment="1"/>
    <xf numFmtId="2" fontId="10" fillId="0" borderId="2" xfId="0" applyNumberFormat="1" applyFont="1" applyBorder="1" applyAlignment="1"/>
    <xf numFmtId="38" fontId="10" fillId="0" borderId="2" xfId="0" applyNumberFormat="1" applyFont="1" applyBorder="1" applyAlignment="1"/>
    <xf numFmtId="38" fontId="10" fillId="0" borderId="16" xfId="0" applyNumberFormat="1" applyFont="1" applyBorder="1" applyAlignment="1"/>
    <xf numFmtId="38" fontId="10" fillId="0" borderId="0" xfId="0" applyNumberFormat="1" applyFont="1" applyBorder="1" applyAlignment="1"/>
    <xf numFmtId="38" fontId="10" fillId="0" borderId="1" xfId="0" applyNumberFormat="1" applyFont="1" applyBorder="1" applyAlignment="1"/>
    <xf numFmtId="0" fontId="10" fillId="0" borderId="11" xfId="0" applyFont="1" applyFill="1" applyBorder="1" applyAlignment="1">
      <alignment horizontal="right" wrapText="1"/>
    </xf>
    <xf numFmtId="2" fontId="10" fillId="0" borderId="4" xfId="0" applyNumberFormat="1" applyFont="1" applyFill="1" applyBorder="1" applyAlignment="1"/>
    <xf numFmtId="38" fontId="10" fillId="0" borderId="5" xfId="0" applyNumberFormat="1" applyFont="1" applyFill="1" applyBorder="1" applyAlignment="1"/>
    <xf numFmtId="38" fontId="10" fillId="0" borderId="6" xfId="0" applyNumberFormat="1" applyFont="1" applyFill="1" applyBorder="1" applyAlignment="1"/>
    <xf numFmtId="38" fontId="10" fillId="0" borderId="24" xfId="0" applyNumberFormat="1" applyFont="1" applyFill="1" applyBorder="1" applyAlignment="1"/>
    <xf numFmtId="38" fontId="10" fillId="0" borderId="17" xfId="0" applyNumberFormat="1" applyFont="1" applyFill="1" applyBorder="1" applyAlignment="1"/>
    <xf numFmtId="38" fontId="10" fillId="0" borderId="20" xfId="0" applyNumberFormat="1" applyFont="1" applyFill="1" applyBorder="1" applyAlignment="1"/>
    <xf numFmtId="38" fontId="10" fillId="0" borderId="4" xfId="0" applyNumberFormat="1" applyFont="1" applyFill="1" applyBorder="1" applyAlignment="1"/>
    <xf numFmtId="0" fontId="9" fillId="2" borderId="10" xfId="0" applyFont="1" applyFill="1" applyBorder="1" applyAlignment="1">
      <alignment wrapText="1"/>
    </xf>
    <xf numFmtId="2" fontId="10" fillId="2" borderId="1" xfId="0" applyNumberFormat="1" applyFont="1" applyFill="1" applyBorder="1" applyAlignment="1"/>
    <xf numFmtId="38" fontId="10" fillId="2" borderId="2" xfId="0" applyNumberFormat="1" applyFont="1" applyFill="1" applyBorder="1" applyAlignment="1"/>
    <xf numFmtId="38" fontId="10" fillId="2" borderId="3" xfId="0" applyNumberFormat="1" applyFont="1" applyFill="1" applyBorder="1" applyAlignment="1"/>
    <xf numFmtId="38" fontId="10" fillId="2" borderId="23" xfId="0" applyNumberFormat="1" applyFont="1" applyFill="1" applyBorder="1" applyAlignment="1"/>
    <xf numFmtId="38" fontId="10" fillId="3" borderId="16" xfId="0" applyNumberFormat="1" applyFont="1" applyFill="1" applyBorder="1" applyAlignment="1"/>
    <xf numFmtId="38" fontId="10" fillId="3" borderId="0" xfId="0" applyNumberFormat="1" applyFont="1" applyFill="1" applyBorder="1" applyAlignment="1"/>
    <xf numFmtId="38" fontId="10" fillId="3" borderId="23" xfId="0" applyNumberFormat="1" applyFont="1" applyFill="1" applyBorder="1" applyAlignment="1"/>
    <xf numFmtId="38" fontId="10" fillId="8" borderId="1" xfId="0" applyNumberFormat="1" applyFont="1" applyFill="1" applyBorder="1" applyAlignment="1"/>
    <xf numFmtId="38" fontId="10" fillId="8" borderId="2" xfId="0" applyNumberFormat="1" applyFont="1" applyFill="1" applyBorder="1" applyAlignment="1"/>
    <xf numFmtId="38" fontId="10" fillId="8" borderId="23" xfId="0" applyNumberFormat="1" applyFont="1" applyFill="1" applyBorder="1" applyAlignment="1"/>
    <xf numFmtId="38" fontId="10" fillId="9" borderId="2" xfId="0" applyNumberFormat="1" applyFont="1" applyFill="1" applyBorder="1" applyAlignment="1"/>
    <xf numFmtId="38" fontId="10" fillId="9" borderId="3" xfId="0" applyNumberFormat="1" applyFont="1" applyFill="1" applyBorder="1" applyAlignment="1"/>
    <xf numFmtId="38" fontId="10" fillId="9" borderId="23" xfId="0" applyNumberFormat="1" applyFont="1" applyFill="1" applyBorder="1" applyAlignment="1"/>
    <xf numFmtId="38" fontId="10" fillId="0" borderId="2" xfId="0" applyNumberFormat="1" applyFont="1" applyBorder="1" applyAlignment="1">
      <alignment horizontal="right"/>
    </xf>
    <xf numFmtId="38" fontId="10" fillId="0" borderId="3" xfId="0" applyNumberFormat="1" applyFont="1" applyBorder="1" applyAlignment="1"/>
    <xf numFmtId="38" fontId="10" fillId="0" borderId="23" xfId="0" applyNumberFormat="1" applyFont="1" applyBorder="1" applyAlignment="1"/>
    <xf numFmtId="38" fontId="10" fillId="0" borderId="1" xfId="0" applyNumberFormat="1" applyFont="1" applyFill="1" applyBorder="1" applyAlignment="1"/>
    <xf numFmtId="0" fontId="10" fillId="0" borderId="10" xfId="0" applyFont="1" applyBorder="1"/>
    <xf numFmtId="38" fontId="10" fillId="0" borderId="16" xfId="0" applyNumberFormat="1" applyFont="1" applyFill="1" applyBorder="1" applyAlignment="1"/>
    <xf numFmtId="38" fontId="10" fillId="0" borderId="0" xfId="0" applyNumberFormat="1" applyFont="1" applyFill="1" applyBorder="1" applyAlignment="1"/>
    <xf numFmtId="0" fontId="10" fillId="0" borderId="11" xfId="0" applyFont="1" applyFill="1" applyBorder="1" applyAlignment="1">
      <alignment horizontal="right"/>
    </xf>
    <xf numFmtId="0" fontId="10" fillId="7" borderId="10" xfId="0" applyFont="1" applyFill="1" applyBorder="1"/>
    <xf numFmtId="2" fontId="10" fillId="7" borderId="1" xfId="0" applyNumberFormat="1" applyFont="1" applyFill="1" applyBorder="1" applyAlignment="1"/>
    <xf numFmtId="2" fontId="10" fillId="7" borderId="2" xfId="0" applyNumberFormat="1" applyFont="1" applyFill="1" applyBorder="1" applyAlignment="1"/>
    <xf numFmtId="38" fontId="10" fillId="7" borderId="2" xfId="0" applyNumberFormat="1" applyFont="1" applyFill="1" applyBorder="1" applyAlignment="1"/>
    <xf numFmtId="38" fontId="10" fillId="7" borderId="23" xfId="0" applyNumberFormat="1" applyFont="1" applyFill="1" applyBorder="1" applyAlignment="1"/>
    <xf numFmtId="38" fontId="10" fillId="7" borderId="16" xfId="0" applyNumberFormat="1" applyFont="1" applyFill="1" applyBorder="1" applyAlignment="1"/>
    <xf numFmtId="38" fontId="10" fillId="7" borderId="0" xfId="0" applyNumberFormat="1" applyFont="1" applyFill="1" applyBorder="1" applyAlignment="1"/>
    <xf numFmtId="38" fontId="10" fillId="7" borderId="23" xfId="0" applyNumberFormat="1" applyFont="1" applyFill="1" applyBorder="1" applyAlignment="1">
      <alignment wrapText="1"/>
    </xf>
    <xf numFmtId="38" fontId="10" fillId="7" borderId="1" xfId="0" applyNumberFormat="1" applyFont="1" applyFill="1" applyBorder="1" applyAlignment="1"/>
    <xf numFmtId="38" fontId="10" fillId="7" borderId="3" xfId="0" applyNumberFormat="1" applyFont="1" applyFill="1" applyBorder="1" applyAlignment="1"/>
    <xf numFmtId="3" fontId="10" fillId="0" borderId="4" xfId="0" applyNumberFormat="1" applyFont="1" applyFill="1" applyBorder="1" applyAlignment="1"/>
    <xf numFmtId="38" fontId="10" fillId="0" borderId="29" xfId="0" applyNumberFormat="1" applyFont="1" applyFill="1" applyBorder="1" applyAlignment="1"/>
    <xf numFmtId="0" fontId="10" fillId="0" borderId="12" xfId="0" applyFont="1" applyFill="1" applyBorder="1" applyAlignment="1">
      <alignment horizontal="right" wrapText="1"/>
    </xf>
    <xf numFmtId="2" fontId="10" fillId="0" borderId="13" xfId="0" applyNumberFormat="1" applyFont="1" applyFill="1" applyBorder="1" applyAlignment="1"/>
    <xf numFmtId="3" fontId="10" fillId="0" borderId="13" xfId="0" applyNumberFormat="1" applyFont="1" applyFill="1" applyBorder="1" applyAlignment="1"/>
    <xf numFmtId="38" fontId="10" fillId="0" borderId="25" xfId="0" applyNumberFormat="1" applyFont="1" applyFill="1" applyBorder="1" applyAlignment="1"/>
    <xf numFmtId="38" fontId="10" fillId="0" borderId="18" xfId="0" applyNumberFormat="1" applyFont="1" applyFill="1" applyBorder="1" applyAlignment="1"/>
    <xf numFmtId="38" fontId="10" fillId="0" borderId="21" xfId="0" applyNumberFormat="1" applyFont="1" applyFill="1" applyBorder="1" applyAlignment="1"/>
    <xf numFmtId="38" fontId="10" fillId="0" borderId="13" xfId="0" applyNumberFormat="1" applyFont="1" applyFill="1" applyBorder="1" applyAlignment="1"/>
    <xf numFmtId="38" fontId="10" fillId="0" borderId="14" xfId="0" applyNumberFormat="1" applyFont="1" applyFill="1" applyBorder="1" applyAlignment="1"/>
    <xf numFmtId="40" fontId="10" fillId="0" borderId="0" xfId="0" applyNumberFormat="1" applyFont="1" applyFill="1"/>
    <xf numFmtId="38" fontId="10" fillId="8" borderId="30" xfId="0" applyNumberFormat="1" applyFont="1" applyFill="1" applyBorder="1" applyAlignment="1"/>
    <xf numFmtId="38" fontId="10" fillId="0" borderId="31" xfId="0" applyNumberFormat="1" applyFont="1" applyFill="1" applyBorder="1" applyAlignment="1"/>
    <xf numFmtId="38" fontId="10" fillId="7" borderId="31" xfId="0" applyNumberFormat="1" applyFont="1" applyFill="1" applyBorder="1" applyAlignment="1"/>
    <xf numFmtId="38" fontId="10" fillId="8" borderId="31" xfId="0" applyNumberFormat="1" applyFont="1" applyFill="1" applyBorder="1" applyAlignment="1"/>
    <xf numFmtId="2" fontId="10" fillId="0" borderId="2" xfId="0" applyNumberFormat="1" applyFont="1" applyFill="1" applyBorder="1" applyAlignment="1"/>
    <xf numFmtId="40" fontId="10" fillId="0" borderId="2" xfId="0" applyNumberFormat="1" applyFont="1" applyBorder="1" applyAlignment="1"/>
    <xf numFmtId="38" fontId="10" fillId="0" borderId="31" xfId="0" applyNumberFormat="1" applyFont="1" applyBorder="1" applyAlignment="1"/>
    <xf numFmtId="2" fontId="10" fillId="0" borderId="1" xfId="0" applyNumberFormat="1" applyFont="1" applyFill="1" applyBorder="1" applyAlignment="1"/>
    <xf numFmtId="38" fontId="10" fillId="0" borderId="32" xfId="0" applyNumberFormat="1" applyFont="1" applyBorder="1" applyAlignment="1"/>
    <xf numFmtId="38" fontId="10" fillId="0" borderId="32" xfId="0" applyNumberFormat="1" applyFont="1" applyFill="1" applyBorder="1" applyAlignment="1"/>
    <xf numFmtId="4" fontId="10" fillId="0" borderId="4" xfId="0" applyNumberFormat="1" applyFont="1" applyFill="1" applyBorder="1" applyAlignment="1"/>
    <xf numFmtId="2" fontId="10" fillId="0" borderId="2" xfId="0" applyNumberFormat="1" applyFont="1" applyBorder="1" applyAlignment="1">
      <alignment vertical="top"/>
    </xf>
    <xf numFmtId="2" fontId="10" fillId="6" borderId="8" xfId="0" applyNumberFormat="1" applyFont="1" applyFill="1" applyBorder="1" applyAlignment="1"/>
    <xf numFmtId="3" fontId="10" fillId="6" borderId="8" xfId="0" applyNumberFormat="1" applyFont="1" applyFill="1" applyBorder="1" applyAlignment="1"/>
    <xf numFmtId="3" fontId="10" fillId="6" borderId="9" xfId="0" applyNumberFormat="1" applyFont="1" applyFill="1" applyBorder="1" applyAlignment="1"/>
    <xf numFmtId="3" fontId="10" fillId="6" borderId="22" xfId="0" applyNumberFormat="1" applyFont="1" applyFill="1" applyBorder="1" applyAlignment="1"/>
    <xf numFmtId="3" fontId="10" fillId="3" borderId="7" xfId="0" applyNumberFormat="1" applyFont="1" applyFill="1" applyBorder="1" applyAlignment="1"/>
    <xf numFmtId="3" fontId="10" fillId="3" borderId="8" xfId="0" applyNumberFormat="1" applyFont="1" applyFill="1" applyBorder="1" applyAlignment="1"/>
    <xf numFmtId="3" fontId="10" fillId="3" borderId="15" xfId="0" applyNumberFormat="1" applyFont="1" applyFill="1" applyBorder="1" applyAlignment="1"/>
    <xf numFmtId="3" fontId="10" fillId="8" borderId="7" xfId="0" applyNumberFormat="1" applyFont="1" applyFill="1" applyBorder="1" applyAlignment="1"/>
    <xf numFmtId="3" fontId="10" fillId="8" borderId="8" xfId="0" applyNumberFormat="1" applyFont="1" applyFill="1" applyBorder="1" applyAlignment="1"/>
    <xf numFmtId="3" fontId="10" fillId="8" borderId="15" xfId="0" applyNumberFormat="1" applyFont="1" applyFill="1" applyBorder="1" applyAlignment="1"/>
    <xf numFmtId="3" fontId="10" fillId="9" borderId="7" xfId="0" applyNumberFormat="1" applyFont="1" applyFill="1" applyBorder="1" applyAlignment="1"/>
    <xf numFmtId="3" fontId="10" fillId="9" borderId="9" xfId="0" applyNumberFormat="1" applyFont="1" applyFill="1" applyBorder="1" applyAlignment="1"/>
    <xf numFmtId="3" fontId="10" fillId="9" borderId="34" xfId="0" applyNumberFormat="1" applyFont="1" applyFill="1" applyBorder="1" applyAlignment="1"/>
    <xf numFmtId="2" fontId="10" fillId="6" borderId="7" xfId="0" applyNumberFormat="1" applyFont="1" applyFill="1" applyBorder="1" applyAlignment="1"/>
    <xf numFmtId="0" fontId="9" fillId="6" borderId="33" xfId="0" applyFont="1" applyFill="1" applyBorder="1" applyAlignment="1"/>
    <xf numFmtId="0" fontId="0" fillId="0" borderId="0" xfId="0" applyFill="1" applyBorder="1" applyAlignment="1"/>
    <xf numFmtId="0" fontId="0" fillId="0" borderId="0" xfId="0" applyAlignment="1"/>
    <xf numFmtId="0" fontId="0" fillId="0" borderId="0" xfId="0"/>
    <xf numFmtId="0" fontId="4" fillId="0" borderId="0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1" fillId="0" borderId="0" xfId="0" applyFont="1"/>
    <xf numFmtId="0" fontId="6" fillId="0" borderId="0" xfId="0" applyFont="1" applyFill="1" applyBorder="1" applyAlignment="1"/>
    <xf numFmtId="0" fontId="11" fillId="0" borderId="0" xfId="0" applyFont="1" applyAlignment="1"/>
    <xf numFmtId="0" fontId="11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5" fillId="2" borderId="10" xfId="0" applyFont="1" applyFill="1" applyBorder="1" applyAlignment="1">
      <alignment wrapText="1"/>
    </xf>
    <xf numFmtId="38" fontId="9" fillId="0" borderId="2" xfId="0" applyNumberFormat="1" applyFont="1" applyBorder="1" applyAlignment="1">
      <alignment horizontal="right"/>
    </xf>
    <xf numFmtId="38" fontId="10" fillId="0" borderId="0" xfId="0" applyNumberFormat="1" applyFont="1" applyFill="1" applyBorder="1" applyAlignment="1">
      <alignment horizontal="right"/>
    </xf>
    <xf numFmtId="38" fontId="9" fillId="0" borderId="2" xfId="0" quotePrefix="1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/>
    <xf numFmtId="0" fontId="0" fillId="0" borderId="0" xfId="0" applyFill="1"/>
    <xf numFmtId="0" fontId="10" fillId="0" borderId="0" xfId="0" applyFont="1"/>
    <xf numFmtId="0" fontId="0" fillId="0" borderId="0" xfId="0"/>
    <xf numFmtId="0" fontId="10" fillId="0" borderId="0" xfId="0" applyFont="1"/>
    <xf numFmtId="0" fontId="0" fillId="0" borderId="0" xfId="0"/>
    <xf numFmtId="0" fontId="13" fillId="0" borderId="0" xfId="0" applyFont="1"/>
    <xf numFmtId="0" fontId="14" fillId="0" borderId="0" xfId="0" applyFont="1" applyFill="1" applyBorder="1" applyAlignment="1"/>
    <xf numFmtId="0" fontId="14" fillId="0" borderId="0" xfId="0" applyFont="1" applyAlignment="1"/>
    <xf numFmtId="2" fontId="5" fillId="2" borderId="27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5" fillId="2" borderId="28" xfId="0" applyNumberFormat="1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5" fillId="9" borderId="27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/>
    </xf>
    <xf numFmtId="0" fontId="10" fillId="0" borderId="0" xfId="0" applyFont="1"/>
    <xf numFmtId="0" fontId="0" fillId="0" borderId="0" xfId="0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colors>
    <mruColors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abSelected="1" zoomScaleNormal="100" zoomScalePage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20" sqref="O20"/>
    </sheetView>
  </sheetViews>
  <sheetFormatPr defaultColWidth="8.88671875" defaultRowHeight="14.4" x14ac:dyDescent="0.3"/>
  <cols>
    <col min="1" max="1" width="29.33203125" customWidth="1"/>
    <col min="2" max="2" width="7.5546875" style="2" customWidth="1"/>
    <col min="3" max="3" width="8.44140625" style="2" customWidth="1"/>
    <col min="4" max="4" width="9.5546875" customWidth="1"/>
    <col min="5" max="5" width="10.5546875" customWidth="1"/>
    <col min="6" max="6" width="10.5546875" style="3" customWidth="1"/>
    <col min="7" max="8" width="10.5546875" customWidth="1"/>
    <col min="9" max="9" width="10.5546875" style="4" customWidth="1"/>
    <col min="10" max="11" width="10.5546875" style="3" customWidth="1"/>
    <col min="12" max="16" width="10.5546875" customWidth="1"/>
    <col min="17" max="17" width="11.44140625" customWidth="1"/>
    <col min="18" max="18" width="10.44140625" bestFit="1" customWidth="1"/>
    <col min="20" max="20" width="9.109375" style="5" bestFit="1" customWidth="1"/>
    <col min="21" max="21" width="8.88671875" style="5"/>
    <col min="22" max="22" width="9.109375" bestFit="1" customWidth="1"/>
  </cols>
  <sheetData>
    <row r="1" spans="1:17" ht="27.75" customHeight="1" x14ac:dyDescent="0.35">
      <c r="A1" s="1" t="s">
        <v>84</v>
      </c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17" s="7" customFormat="1" ht="27.75" customHeight="1" thickBot="1" x14ac:dyDescent="0.35">
      <c r="B2" s="8"/>
      <c r="C2" s="8"/>
    </row>
    <row r="3" spans="1:17" s="22" customFormat="1" ht="27.75" customHeight="1" thickBot="1" x14ac:dyDescent="0.3">
      <c r="B3" s="161" t="s">
        <v>52</v>
      </c>
      <c r="C3" s="162"/>
      <c r="D3" s="162"/>
      <c r="E3" s="162"/>
      <c r="F3" s="162"/>
      <c r="G3" s="162"/>
      <c r="H3" s="162"/>
      <c r="I3" s="162"/>
      <c r="J3" s="162"/>
      <c r="K3" s="163"/>
      <c r="L3" s="164" t="s">
        <v>53</v>
      </c>
      <c r="M3" s="164"/>
      <c r="N3" s="164"/>
      <c r="O3" s="165" t="s">
        <v>56</v>
      </c>
      <c r="P3" s="166"/>
      <c r="Q3" s="167"/>
    </row>
    <row r="4" spans="1:17" s="7" customFormat="1" ht="69.599999999999994" thickBot="1" x14ac:dyDescent="0.35">
      <c r="A4" s="9"/>
      <c r="B4" s="10" t="s">
        <v>57</v>
      </c>
      <c r="C4" s="10" t="s">
        <v>58</v>
      </c>
      <c r="D4" s="6" t="s">
        <v>59</v>
      </c>
      <c r="E4" s="11" t="s">
        <v>60</v>
      </c>
      <c r="F4" s="11" t="s">
        <v>61</v>
      </c>
      <c r="G4" s="12" t="s">
        <v>62</v>
      </c>
      <c r="H4" s="13" t="s">
        <v>65</v>
      </c>
      <c r="I4" s="14" t="s">
        <v>63</v>
      </c>
      <c r="J4" s="15" t="s">
        <v>64</v>
      </c>
      <c r="K4" s="16" t="s">
        <v>67</v>
      </c>
      <c r="L4" s="17" t="s">
        <v>86</v>
      </c>
      <c r="M4" s="17" t="s">
        <v>69</v>
      </c>
      <c r="N4" s="18" t="s">
        <v>54</v>
      </c>
      <c r="O4" s="19" t="s">
        <v>85</v>
      </c>
      <c r="P4" s="20" t="s">
        <v>66</v>
      </c>
      <c r="Q4" s="21" t="s">
        <v>55</v>
      </c>
    </row>
    <row r="5" spans="1:17" s="38" customFormat="1" ht="30" customHeight="1" x14ac:dyDescent="0.2">
      <c r="A5" s="23" t="s">
        <v>37</v>
      </c>
      <c r="B5" s="24"/>
      <c r="C5" s="24"/>
      <c r="D5" s="25"/>
      <c r="E5" s="26"/>
      <c r="F5" s="26"/>
      <c r="G5" s="27"/>
      <c r="H5" s="28"/>
      <c r="I5" s="29"/>
      <c r="J5" s="30"/>
      <c r="K5" s="31"/>
      <c r="L5" s="32"/>
      <c r="M5" s="33"/>
      <c r="N5" s="34"/>
      <c r="O5" s="35"/>
      <c r="P5" s="36"/>
      <c r="Q5" s="37"/>
    </row>
    <row r="6" spans="1:17" s="50" customFormat="1" ht="15" customHeight="1" x14ac:dyDescent="0.2">
      <c r="A6" s="39" t="s">
        <v>38</v>
      </c>
      <c r="B6" s="40"/>
      <c r="C6" s="40"/>
      <c r="D6" s="41">
        <v>19</v>
      </c>
      <c r="E6" s="42">
        <f>100000+3469170</f>
        <v>3569170</v>
      </c>
      <c r="F6" s="42">
        <v>2388</v>
      </c>
      <c r="G6" s="42">
        <v>21161</v>
      </c>
      <c r="H6" s="47">
        <f t="shared" ref="H6:H14" si="0">E6+F6+G6</f>
        <v>3592719</v>
      </c>
      <c r="I6" s="44">
        <v>299600</v>
      </c>
      <c r="J6" s="45">
        <v>1691425</v>
      </c>
      <c r="K6" s="43">
        <f t="shared" ref="K6:K14" si="1">SUM(H6:J6)</f>
        <v>5583744</v>
      </c>
      <c r="L6" s="46">
        <v>460703</v>
      </c>
      <c r="M6" s="42">
        <v>267474</v>
      </c>
      <c r="N6" s="47">
        <f t="shared" ref="N6:N14" si="2">SUM(L6:M6)</f>
        <v>728177</v>
      </c>
      <c r="O6" s="48">
        <v>1619229</v>
      </c>
      <c r="P6" s="49">
        <v>102542</v>
      </c>
      <c r="Q6" s="47">
        <f t="shared" ref="Q6:Q14" si="3">SUM(O6:P6)</f>
        <v>1721771</v>
      </c>
    </row>
    <row r="7" spans="1:17" s="50" customFormat="1" ht="15" customHeight="1" x14ac:dyDescent="0.2">
      <c r="A7" s="39" t="s">
        <v>39</v>
      </c>
      <c r="B7" s="40"/>
      <c r="C7" s="40"/>
      <c r="D7" s="41">
        <v>8</v>
      </c>
      <c r="E7" s="42">
        <v>20000</v>
      </c>
      <c r="F7" s="42"/>
      <c r="G7" s="42">
        <v>178542</v>
      </c>
      <c r="H7" s="47">
        <f t="shared" si="0"/>
        <v>198542</v>
      </c>
      <c r="I7" s="44"/>
      <c r="J7" s="45">
        <v>33670</v>
      </c>
      <c r="K7" s="43">
        <f t="shared" si="1"/>
        <v>232212</v>
      </c>
      <c r="L7" s="46"/>
      <c r="M7" s="42">
        <v>324961</v>
      </c>
      <c r="N7" s="47">
        <f t="shared" si="2"/>
        <v>324961</v>
      </c>
      <c r="O7" s="48">
        <v>345325</v>
      </c>
      <c r="P7" s="49"/>
      <c r="Q7" s="47">
        <f t="shared" si="3"/>
        <v>345325</v>
      </c>
    </row>
    <row r="8" spans="1:17" s="50" customFormat="1" ht="15" customHeight="1" x14ac:dyDescent="0.2">
      <c r="A8" s="39" t="s">
        <v>40</v>
      </c>
      <c r="B8" s="40"/>
      <c r="C8" s="40"/>
      <c r="D8" s="41">
        <v>11</v>
      </c>
      <c r="E8" s="42"/>
      <c r="F8" s="42">
        <v>38022</v>
      </c>
      <c r="G8" s="42">
        <v>18088</v>
      </c>
      <c r="H8" s="47">
        <f t="shared" si="0"/>
        <v>56110</v>
      </c>
      <c r="I8" s="44"/>
      <c r="J8" s="45">
        <v>51446</v>
      </c>
      <c r="K8" s="43">
        <f t="shared" si="1"/>
        <v>107556</v>
      </c>
      <c r="L8" s="46"/>
      <c r="M8" s="42">
        <v>93875</v>
      </c>
      <c r="N8" s="47">
        <f t="shared" si="2"/>
        <v>93875</v>
      </c>
      <c r="O8" s="48">
        <v>99000</v>
      </c>
      <c r="P8" s="49"/>
      <c r="Q8" s="47">
        <f t="shared" si="3"/>
        <v>99000</v>
      </c>
    </row>
    <row r="9" spans="1:17" s="50" customFormat="1" ht="15" customHeight="1" x14ac:dyDescent="0.2">
      <c r="A9" s="39" t="s">
        <v>41</v>
      </c>
      <c r="B9" s="40"/>
      <c r="C9" s="40"/>
      <c r="D9" s="41">
        <v>41</v>
      </c>
      <c r="E9" s="42"/>
      <c r="F9" s="42">
        <v>41354</v>
      </c>
      <c r="G9" s="42">
        <v>123994</v>
      </c>
      <c r="H9" s="47">
        <f t="shared" si="0"/>
        <v>165348</v>
      </c>
      <c r="I9" s="44"/>
      <c r="J9" s="45">
        <v>213775</v>
      </c>
      <c r="K9" s="43">
        <f t="shared" si="1"/>
        <v>379123</v>
      </c>
      <c r="L9" s="46"/>
      <c r="M9" s="42">
        <v>469585</v>
      </c>
      <c r="N9" s="47">
        <f t="shared" si="2"/>
        <v>469585</v>
      </c>
      <c r="O9" s="48">
        <v>421782</v>
      </c>
      <c r="P9" s="49"/>
      <c r="Q9" s="47">
        <f t="shared" si="3"/>
        <v>421782</v>
      </c>
    </row>
    <row r="10" spans="1:17" s="50" customFormat="1" ht="15" customHeight="1" x14ac:dyDescent="0.2">
      <c r="A10" s="39" t="s">
        <v>42</v>
      </c>
      <c r="B10" s="40"/>
      <c r="C10" s="40"/>
      <c r="D10" s="41">
        <v>4</v>
      </c>
      <c r="E10" s="42">
        <v>46000</v>
      </c>
      <c r="F10" s="42"/>
      <c r="G10" s="42">
        <v>19800</v>
      </c>
      <c r="H10" s="47">
        <f t="shared" si="0"/>
        <v>65800</v>
      </c>
      <c r="I10" s="44"/>
      <c r="J10" s="45">
        <v>157756</v>
      </c>
      <c r="K10" s="43">
        <f t="shared" si="1"/>
        <v>223556</v>
      </c>
      <c r="L10" s="46"/>
      <c r="M10" s="42">
        <v>181661</v>
      </c>
      <c r="N10" s="47">
        <f t="shared" si="2"/>
        <v>181661</v>
      </c>
      <c r="O10" s="48">
        <v>201415</v>
      </c>
      <c r="P10" s="49"/>
      <c r="Q10" s="47">
        <f t="shared" si="3"/>
        <v>201415</v>
      </c>
    </row>
    <row r="11" spans="1:17" s="38" customFormat="1" ht="10.199999999999999" x14ac:dyDescent="0.2">
      <c r="A11" s="51" t="s">
        <v>43</v>
      </c>
      <c r="B11" s="52">
        <v>1</v>
      </c>
      <c r="C11" s="52"/>
      <c r="D11" s="53">
        <v>24</v>
      </c>
      <c r="E11" s="54"/>
      <c r="F11" s="54">
        <v>124123</v>
      </c>
      <c r="G11" s="54">
        <v>12287</v>
      </c>
      <c r="H11" s="47">
        <f t="shared" si="0"/>
        <v>136410</v>
      </c>
      <c r="I11" s="55"/>
      <c r="J11" s="56">
        <v>342020</v>
      </c>
      <c r="K11" s="43">
        <f t="shared" si="1"/>
        <v>478430</v>
      </c>
      <c r="L11" s="57"/>
      <c r="M11" s="48">
        <v>0</v>
      </c>
      <c r="N11" s="47">
        <f t="shared" si="2"/>
        <v>0</v>
      </c>
      <c r="O11" s="54">
        <v>0</v>
      </c>
      <c r="P11" s="49"/>
      <c r="Q11" s="47">
        <f t="shared" si="3"/>
        <v>0</v>
      </c>
    </row>
    <row r="12" spans="1:17" s="38" customFormat="1" ht="10.199999999999999" x14ac:dyDescent="0.2">
      <c r="A12" s="51" t="s">
        <v>44</v>
      </c>
      <c r="B12" s="52"/>
      <c r="C12" s="52"/>
      <c r="D12" s="53">
        <v>1</v>
      </c>
      <c r="E12" s="54"/>
      <c r="F12" s="54"/>
      <c r="G12" s="54"/>
      <c r="H12" s="47">
        <f t="shared" si="0"/>
        <v>0</v>
      </c>
      <c r="I12" s="55"/>
      <c r="J12" s="56">
        <v>3292</v>
      </c>
      <c r="K12" s="43">
        <f t="shared" si="1"/>
        <v>3292</v>
      </c>
      <c r="L12" s="57"/>
      <c r="M12" s="48">
        <v>5986</v>
      </c>
      <c r="N12" s="47">
        <f t="shared" si="2"/>
        <v>5986</v>
      </c>
      <c r="O12" s="54">
        <v>0</v>
      </c>
      <c r="P12" s="49"/>
      <c r="Q12" s="47">
        <f t="shared" si="3"/>
        <v>0</v>
      </c>
    </row>
    <row r="13" spans="1:17" s="38" customFormat="1" ht="10.199999999999999" x14ac:dyDescent="0.2">
      <c r="A13" s="51" t="s">
        <v>45</v>
      </c>
      <c r="B13" s="52"/>
      <c r="C13" s="52"/>
      <c r="D13" s="53">
        <v>16.5</v>
      </c>
      <c r="E13" s="54">
        <v>41400</v>
      </c>
      <c r="F13" s="54">
        <v>197810</v>
      </c>
      <c r="G13" s="54">
        <v>2538</v>
      </c>
      <c r="H13" s="47">
        <f t="shared" si="0"/>
        <v>241748</v>
      </c>
      <c r="I13" s="55"/>
      <c r="J13" s="56">
        <v>8546</v>
      </c>
      <c r="K13" s="43">
        <f t="shared" si="1"/>
        <v>250294</v>
      </c>
      <c r="L13" s="57"/>
      <c r="M13" s="48">
        <v>312646</v>
      </c>
      <c r="N13" s="47">
        <f t="shared" si="2"/>
        <v>312646</v>
      </c>
      <c r="O13" s="54">
        <v>312646</v>
      </c>
      <c r="P13" s="49"/>
      <c r="Q13" s="47">
        <f t="shared" si="3"/>
        <v>312646</v>
      </c>
    </row>
    <row r="14" spans="1:17" s="38" customFormat="1" ht="14.1" customHeight="1" x14ac:dyDescent="0.2">
      <c r="A14" s="51" t="s">
        <v>46</v>
      </c>
      <c r="B14" s="52"/>
      <c r="C14" s="52"/>
      <c r="D14" s="53">
        <v>37</v>
      </c>
      <c r="E14" s="54"/>
      <c r="F14" s="54"/>
      <c r="G14" s="54">
        <v>116028</v>
      </c>
      <c r="H14" s="47">
        <f t="shared" si="0"/>
        <v>116028</v>
      </c>
      <c r="I14" s="55"/>
      <c r="J14" s="56">
        <v>1132607</v>
      </c>
      <c r="K14" s="43">
        <f t="shared" si="1"/>
        <v>1248635</v>
      </c>
      <c r="L14" s="57"/>
      <c r="M14" s="48">
        <v>9804</v>
      </c>
      <c r="N14" s="47">
        <f t="shared" si="2"/>
        <v>9804</v>
      </c>
      <c r="O14" s="54">
        <v>0</v>
      </c>
      <c r="P14" s="49"/>
      <c r="Q14" s="47">
        <f t="shared" si="3"/>
        <v>0</v>
      </c>
    </row>
    <row r="15" spans="1:17" s="50" customFormat="1" ht="14.1" customHeight="1" x14ac:dyDescent="0.2">
      <c r="A15" s="58" t="s">
        <v>47</v>
      </c>
      <c r="B15" s="59">
        <f t="shared" ref="B15:J15" si="4">SUM(B6:B14)</f>
        <v>1</v>
      </c>
      <c r="C15" s="59">
        <f t="shared" si="4"/>
        <v>0</v>
      </c>
      <c r="D15" s="59">
        <f t="shared" si="4"/>
        <v>161.5</v>
      </c>
      <c r="E15" s="60">
        <f t="shared" si="4"/>
        <v>3676570</v>
      </c>
      <c r="F15" s="60">
        <f t="shared" si="4"/>
        <v>403697</v>
      </c>
      <c r="G15" s="61">
        <f t="shared" si="4"/>
        <v>492438</v>
      </c>
      <c r="H15" s="62">
        <f t="shared" si="4"/>
        <v>4572705</v>
      </c>
      <c r="I15" s="63">
        <f t="shared" si="4"/>
        <v>299600</v>
      </c>
      <c r="J15" s="64">
        <f t="shared" si="4"/>
        <v>3634537</v>
      </c>
      <c r="K15" s="62">
        <f>SUM(H15:J15)</f>
        <v>8506842</v>
      </c>
      <c r="L15" s="65">
        <f>SUM(L6:L14)</f>
        <v>460703</v>
      </c>
      <c r="M15" s="60">
        <f>SUM(M6:M14)</f>
        <v>1665992</v>
      </c>
      <c r="N15" s="62">
        <f>SUM(L15:M15)</f>
        <v>2126695</v>
      </c>
      <c r="O15" s="65">
        <f>SUM(O6:O14)</f>
        <v>2999397</v>
      </c>
      <c r="P15" s="60">
        <f>SUM(P6:P14)</f>
        <v>102542</v>
      </c>
      <c r="Q15" s="62">
        <f>SUM(O15:P15)</f>
        <v>3101939</v>
      </c>
    </row>
    <row r="16" spans="1:17" s="38" customFormat="1" ht="29.25" customHeight="1" x14ac:dyDescent="0.25">
      <c r="A16" s="146" t="s">
        <v>82</v>
      </c>
      <c r="B16" s="67"/>
      <c r="C16" s="67"/>
      <c r="D16" s="67"/>
      <c r="E16" s="68"/>
      <c r="F16" s="68"/>
      <c r="G16" s="69"/>
      <c r="H16" s="70"/>
      <c r="I16" s="71"/>
      <c r="J16" s="72"/>
      <c r="K16" s="73"/>
      <c r="L16" s="74"/>
      <c r="M16" s="75"/>
      <c r="N16" s="76"/>
      <c r="O16" s="77"/>
      <c r="P16" s="78"/>
      <c r="Q16" s="79"/>
    </row>
    <row r="17" spans="1:17" s="154" customFormat="1" ht="10.199999999999999" x14ac:dyDescent="0.2">
      <c r="A17" s="51" t="s">
        <v>0</v>
      </c>
      <c r="B17" s="52">
        <f>15.5+1</f>
        <v>16.5</v>
      </c>
      <c r="C17" s="52">
        <v>1</v>
      </c>
      <c r="D17" s="53">
        <v>1</v>
      </c>
      <c r="E17" s="147"/>
      <c r="F17" s="54"/>
      <c r="G17" s="81"/>
      <c r="H17" s="47">
        <f t="shared" ref="H17:H22" si="5">E17+F17+G17</f>
        <v>0</v>
      </c>
      <c r="I17" s="55"/>
      <c r="J17" s="148">
        <v>65675</v>
      </c>
      <c r="K17" s="43">
        <f t="shared" ref="K17:K21" si="6">SUM(H17:J17)</f>
        <v>65675</v>
      </c>
      <c r="L17" s="83"/>
      <c r="M17" s="148">
        <v>18354</v>
      </c>
      <c r="N17" s="47">
        <f t="shared" ref="N17:N22" si="7">SUM(L17:M17)</f>
        <v>18354</v>
      </c>
      <c r="O17" s="48">
        <v>107171</v>
      </c>
      <c r="P17" s="49">
        <v>88693</v>
      </c>
      <c r="Q17" s="47">
        <f t="shared" ref="Q17:Q22" si="8">SUM(O17:P17)</f>
        <v>195864</v>
      </c>
    </row>
    <row r="18" spans="1:17" s="154" customFormat="1" ht="10.199999999999999" x14ac:dyDescent="0.2">
      <c r="A18" s="51" t="s">
        <v>1</v>
      </c>
      <c r="B18" s="52">
        <v>14</v>
      </c>
      <c r="C18" s="52">
        <v>6</v>
      </c>
      <c r="D18" s="53">
        <v>1</v>
      </c>
      <c r="E18" s="147"/>
      <c r="F18" s="54"/>
      <c r="G18" s="81"/>
      <c r="H18" s="47">
        <f t="shared" si="5"/>
        <v>0</v>
      </c>
      <c r="I18" s="55"/>
      <c r="J18" s="148">
        <v>51925</v>
      </c>
      <c r="K18" s="43">
        <f t="shared" si="6"/>
        <v>51925</v>
      </c>
      <c r="L18" s="83"/>
      <c r="M18" s="148">
        <v>171545</v>
      </c>
      <c r="N18" s="47">
        <f t="shared" si="7"/>
        <v>171545</v>
      </c>
      <c r="O18" s="48">
        <v>43828</v>
      </c>
      <c r="P18" s="49">
        <v>60102</v>
      </c>
      <c r="Q18" s="47">
        <f t="shared" si="8"/>
        <v>103930</v>
      </c>
    </row>
    <row r="19" spans="1:17" s="154" customFormat="1" ht="10.199999999999999" x14ac:dyDescent="0.2">
      <c r="A19" s="51" t="s">
        <v>2</v>
      </c>
      <c r="B19" s="52">
        <v>5</v>
      </c>
      <c r="C19" s="52"/>
      <c r="D19" s="53">
        <v>1</v>
      </c>
      <c r="E19" s="149"/>
      <c r="F19" s="54"/>
      <c r="G19" s="81"/>
      <c r="H19" s="47">
        <f t="shared" si="5"/>
        <v>0</v>
      </c>
      <c r="I19" s="55"/>
      <c r="J19" s="148">
        <v>18600</v>
      </c>
      <c r="K19" s="43">
        <f t="shared" si="6"/>
        <v>18600</v>
      </c>
      <c r="L19" s="83"/>
      <c r="M19" s="148">
        <v>25231</v>
      </c>
      <c r="N19" s="47">
        <f t="shared" si="7"/>
        <v>25231</v>
      </c>
      <c r="O19" s="54">
        <v>9653</v>
      </c>
      <c r="P19" s="49">
        <v>19836</v>
      </c>
      <c r="Q19" s="47">
        <f t="shared" si="8"/>
        <v>29489</v>
      </c>
    </row>
    <row r="20" spans="1:17" s="154" customFormat="1" ht="10.199999999999999" x14ac:dyDescent="0.2">
      <c r="A20" s="51" t="s">
        <v>3</v>
      </c>
      <c r="B20" s="52">
        <v>6.5</v>
      </c>
      <c r="C20" s="52"/>
      <c r="D20" s="53">
        <v>1</v>
      </c>
      <c r="E20" s="149"/>
      <c r="F20" s="54"/>
      <c r="G20" s="81"/>
      <c r="H20" s="47">
        <f t="shared" si="5"/>
        <v>0</v>
      </c>
      <c r="I20" s="55"/>
      <c r="J20" s="148">
        <v>21000</v>
      </c>
      <c r="K20" s="43">
        <f t="shared" si="6"/>
        <v>21000</v>
      </c>
      <c r="L20" s="83"/>
      <c r="M20" s="148">
        <v>124124</v>
      </c>
      <c r="N20" s="47">
        <f t="shared" si="7"/>
        <v>124124</v>
      </c>
      <c r="O20" s="54">
        <v>8628</v>
      </c>
      <c r="P20" s="49">
        <v>11951</v>
      </c>
      <c r="Q20" s="47">
        <f t="shared" si="8"/>
        <v>20579</v>
      </c>
    </row>
    <row r="21" spans="1:17" s="154" customFormat="1" ht="10.199999999999999" x14ac:dyDescent="0.2">
      <c r="A21" s="51" t="s">
        <v>35</v>
      </c>
      <c r="B21" s="52">
        <v>10.5</v>
      </c>
      <c r="C21" s="52"/>
      <c r="D21" s="53">
        <v>1</v>
      </c>
      <c r="E21" s="147"/>
      <c r="F21" s="54"/>
      <c r="G21" s="81"/>
      <c r="H21" s="47">
        <f t="shared" si="5"/>
        <v>0</v>
      </c>
      <c r="I21" s="55"/>
      <c r="J21" s="148">
        <v>42800</v>
      </c>
      <c r="K21" s="43">
        <f t="shared" si="6"/>
        <v>42800</v>
      </c>
      <c r="L21" s="83"/>
      <c r="M21" s="148">
        <v>168418</v>
      </c>
      <c r="N21" s="47">
        <f t="shared" si="7"/>
        <v>168418</v>
      </c>
      <c r="O21" s="54">
        <v>21557</v>
      </c>
      <c r="P21" s="49">
        <v>32113</v>
      </c>
      <c r="Q21" s="47">
        <f t="shared" si="8"/>
        <v>53670</v>
      </c>
    </row>
    <row r="22" spans="1:17" s="154" customFormat="1" ht="10.199999999999999" x14ac:dyDescent="0.2">
      <c r="A22" s="51" t="s">
        <v>5</v>
      </c>
      <c r="B22" s="52"/>
      <c r="C22" s="52"/>
      <c r="D22" s="53">
        <v>18</v>
      </c>
      <c r="E22" s="80">
        <v>573702</v>
      </c>
      <c r="F22" s="54">
        <v>10344</v>
      </c>
      <c r="G22" s="81"/>
      <c r="H22" s="47">
        <f t="shared" si="5"/>
        <v>584046</v>
      </c>
      <c r="I22" s="55"/>
      <c r="J22" s="148">
        <v>50000</v>
      </c>
      <c r="K22" s="43">
        <f>SUM(H22:J22)</f>
        <v>634046</v>
      </c>
      <c r="L22" s="83">
        <v>1046046</v>
      </c>
      <c r="M22" s="48"/>
      <c r="N22" s="47">
        <f t="shared" si="7"/>
        <v>1046046</v>
      </c>
      <c r="O22" s="54">
        <v>79676</v>
      </c>
      <c r="P22" s="49">
        <v>169569</v>
      </c>
      <c r="Q22" s="47">
        <f t="shared" si="8"/>
        <v>249245</v>
      </c>
    </row>
    <row r="23" spans="1:17" s="50" customFormat="1" ht="14.1" customHeight="1" x14ac:dyDescent="0.2">
      <c r="A23" s="58" t="s">
        <v>47</v>
      </c>
      <c r="B23" s="59">
        <f t="shared" ref="B23:I23" si="9">SUM(B17:B22)</f>
        <v>52.5</v>
      </c>
      <c r="C23" s="59">
        <f t="shared" si="9"/>
        <v>7</v>
      </c>
      <c r="D23" s="59">
        <f t="shared" si="9"/>
        <v>23</v>
      </c>
      <c r="E23" s="60">
        <f t="shared" si="9"/>
        <v>573702</v>
      </c>
      <c r="F23" s="60">
        <f t="shared" si="9"/>
        <v>10344</v>
      </c>
      <c r="G23" s="61">
        <f t="shared" si="9"/>
        <v>0</v>
      </c>
      <c r="H23" s="62">
        <f t="shared" si="9"/>
        <v>584046</v>
      </c>
      <c r="I23" s="63">
        <f t="shared" si="9"/>
        <v>0</v>
      </c>
      <c r="J23" s="64">
        <f>SUM(J17:J22)</f>
        <v>250000</v>
      </c>
      <c r="K23" s="62">
        <f>SUM(H23:J23)</f>
        <v>834046</v>
      </c>
      <c r="L23" s="65">
        <f>SUM(L17:L22)</f>
        <v>1046046</v>
      </c>
      <c r="M23" s="60">
        <f>SUM(M17:M22)</f>
        <v>507672</v>
      </c>
      <c r="N23" s="62">
        <f>SUM(L23:M23)</f>
        <v>1553718</v>
      </c>
      <c r="O23" s="65">
        <f>SUM(O17:O22)</f>
        <v>270513</v>
      </c>
      <c r="P23" s="60">
        <f>SUM(P17:P22)</f>
        <v>382264</v>
      </c>
      <c r="Q23" s="62">
        <f>SUM(O23:P23)</f>
        <v>652777</v>
      </c>
    </row>
    <row r="24" spans="1:17" s="38" customFormat="1" ht="30" customHeight="1" x14ac:dyDescent="0.2">
      <c r="A24" s="66" t="s">
        <v>4</v>
      </c>
      <c r="B24" s="67"/>
      <c r="C24" s="67"/>
      <c r="D24" s="67"/>
      <c r="E24" s="68"/>
      <c r="F24" s="68"/>
      <c r="G24" s="69"/>
      <c r="H24" s="70"/>
      <c r="I24" s="71"/>
      <c r="J24" s="72"/>
      <c r="K24" s="73"/>
      <c r="L24" s="74"/>
      <c r="M24" s="75"/>
      <c r="N24" s="76"/>
      <c r="O24" s="77"/>
      <c r="P24" s="78"/>
      <c r="Q24" s="79"/>
    </row>
    <row r="25" spans="1:17" s="38" customFormat="1" ht="10.199999999999999" x14ac:dyDescent="0.2">
      <c r="A25" s="84" t="s">
        <v>70</v>
      </c>
      <c r="B25" s="116">
        <v>2</v>
      </c>
      <c r="C25" s="116">
        <v>0</v>
      </c>
      <c r="D25" s="113">
        <v>1</v>
      </c>
      <c r="E25" s="48">
        <v>0</v>
      </c>
      <c r="F25" s="48">
        <v>0</v>
      </c>
      <c r="G25" s="49">
        <v>0</v>
      </c>
      <c r="H25" s="47">
        <f>E25+F25+G25</f>
        <v>0</v>
      </c>
      <c r="I25" s="85">
        <v>0</v>
      </c>
      <c r="J25" s="86">
        <v>0</v>
      </c>
      <c r="K25" s="43">
        <v>0</v>
      </c>
      <c r="L25" s="83">
        <f>1800</f>
        <v>1800</v>
      </c>
      <c r="M25" s="48">
        <v>2000</v>
      </c>
      <c r="N25" s="47">
        <f t="shared" ref="N25:N30" si="10">SUM(L25:M25)</f>
        <v>3800</v>
      </c>
      <c r="O25" s="48">
        <v>11718</v>
      </c>
      <c r="P25" s="49">
        <v>0</v>
      </c>
      <c r="Q25" s="47">
        <f t="shared" ref="Q25:Q30" si="11">SUM(O25:P25)</f>
        <v>11718</v>
      </c>
    </row>
    <row r="26" spans="1:17" s="38" customFormat="1" ht="10.199999999999999" x14ac:dyDescent="0.2">
      <c r="A26" s="84" t="s">
        <v>71</v>
      </c>
      <c r="B26" s="116">
        <v>8</v>
      </c>
      <c r="C26" s="116">
        <v>3</v>
      </c>
      <c r="D26" s="113">
        <v>2</v>
      </c>
      <c r="E26" s="48">
        <v>53983</v>
      </c>
      <c r="F26" s="48">
        <v>0</v>
      </c>
      <c r="G26" s="49">
        <v>0</v>
      </c>
      <c r="H26" s="47">
        <f>E26+F26+G26</f>
        <v>53983</v>
      </c>
      <c r="I26" s="85">
        <v>0</v>
      </c>
      <c r="J26" s="86">
        <f>650+17900</f>
        <v>18550</v>
      </c>
      <c r="K26" s="43">
        <f>SUM(H26:J26)</f>
        <v>72533</v>
      </c>
      <c r="L26" s="83">
        <f>6946+26816</f>
        <v>33762</v>
      </c>
      <c r="M26" s="48">
        <f>2775+5800+21071+8200+10000</f>
        <v>47846</v>
      </c>
      <c r="N26" s="47">
        <f t="shared" si="10"/>
        <v>81608</v>
      </c>
      <c r="O26" s="48">
        <v>3572</v>
      </c>
      <c r="P26" s="49">
        <v>6804.22</v>
      </c>
      <c r="Q26" s="47">
        <f t="shared" si="11"/>
        <v>10376.220000000001</v>
      </c>
    </row>
    <row r="27" spans="1:17" s="38" customFormat="1" ht="10.199999999999999" x14ac:dyDescent="0.2">
      <c r="A27" s="84" t="s">
        <v>72</v>
      </c>
      <c r="B27" s="116">
        <f>15.83+0.5</f>
        <v>16.329999999999998</v>
      </c>
      <c r="C27" s="116">
        <v>2</v>
      </c>
      <c r="D27" s="113">
        <v>2</v>
      </c>
      <c r="E27" s="48">
        <v>279400</v>
      </c>
      <c r="F27" s="48">
        <v>0</v>
      </c>
      <c r="G27" s="49">
        <v>0</v>
      </c>
      <c r="H27" s="47">
        <f t="shared" ref="H27:H29" si="12">E27+F27+G27</f>
        <v>279400</v>
      </c>
      <c r="I27" s="85">
        <v>0</v>
      </c>
      <c r="J27" s="86">
        <f>16250+28528.5</f>
        <v>44778.5</v>
      </c>
      <c r="K27" s="43">
        <f t="shared" ref="K27:K30" si="13">SUM(H27:J27)</f>
        <v>324178.5</v>
      </c>
      <c r="L27" s="83">
        <f>11361+138790</f>
        <v>150151</v>
      </c>
      <c r="M27" s="48">
        <f>4000+2775+33942+8200+110000+16500+45000</f>
        <v>220417</v>
      </c>
      <c r="N27" s="47">
        <f t="shared" si="10"/>
        <v>370568</v>
      </c>
      <c r="O27" s="48">
        <v>11168</v>
      </c>
      <c r="P27" s="49">
        <v>4692.95</v>
      </c>
      <c r="Q27" s="47">
        <f t="shared" si="11"/>
        <v>15860.95</v>
      </c>
    </row>
    <row r="28" spans="1:17" s="38" customFormat="1" ht="10.199999999999999" x14ac:dyDescent="0.2">
      <c r="A28" s="84" t="s">
        <v>73</v>
      </c>
      <c r="B28" s="116">
        <v>0</v>
      </c>
      <c r="C28" s="116">
        <v>0</v>
      </c>
      <c r="D28" s="113">
        <v>12</v>
      </c>
      <c r="E28" s="48">
        <v>0</v>
      </c>
      <c r="F28" s="48">
        <v>0</v>
      </c>
      <c r="G28" s="49">
        <v>0</v>
      </c>
      <c r="H28" s="47">
        <f t="shared" si="12"/>
        <v>0</v>
      </c>
      <c r="I28" s="85">
        <v>0</v>
      </c>
      <c r="J28" s="86">
        <v>90000</v>
      </c>
      <c r="K28" s="43">
        <f t="shared" si="13"/>
        <v>90000</v>
      </c>
      <c r="L28" s="83">
        <v>0</v>
      </c>
      <c r="M28" s="48">
        <f>5000+8200+16006</f>
        <v>29206</v>
      </c>
      <c r="N28" s="47">
        <f t="shared" si="10"/>
        <v>29206</v>
      </c>
      <c r="O28" s="48">
        <v>0</v>
      </c>
      <c r="P28" s="49">
        <v>0</v>
      </c>
      <c r="Q28" s="47">
        <f t="shared" si="11"/>
        <v>0</v>
      </c>
    </row>
    <row r="29" spans="1:17" s="38" customFormat="1" ht="10.199999999999999" x14ac:dyDescent="0.2">
      <c r="A29" s="84" t="s">
        <v>74</v>
      </c>
      <c r="B29" s="116">
        <f>17.6+0.5</f>
        <v>18.100000000000001</v>
      </c>
      <c r="C29" s="116">
        <v>0</v>
      </c>
      <c r="D29" s="113">
        <v>2</v>
      </c>
      <c r="E29" s="48">
        <f>396120+75000</f>
        <v>471120</v>
      </c>
      <c r="F29" s="48">
        <v>0</v>
      </c>
      <c r="G29" s="49">
        <v>0</v>
      </c>
      <c r="H29" s="47">
        <f t="shared" si="12"/>
        <v>471120</v>
      </c>
      <c r="I29" s="85">
        <v>0</v>
      </c>
      <c r="J29" s="86">
        <f>48100+25295</f>
        <v>73395</v>
      </c>
      <c r="K29" s="43">
        <f t="shared" si="13"/>
        <v>544515</v>
      </c>
      <c r="L29" s="83">
        <f>3600+12566+196771</f>
        <v>212937</v>
      </c>
      <c r="M29" s="48">
        <f>4000+10000+30027+8200+23500</f>
        <v>75727</v>
      </c>
      <c r="N29" s="47">
        <f t="shared" si="10"/>
        <v>288664</v>
      </c>
      <c r="O29" s="48">
        <f>6567+8555+36402</f>
        <v>51524</v>
      </c>
      <c r="P29" s="49">
        <f>2241.31+49778.2</f>
        <v>52019.509999999995</v>
      </c>
      <c r="Q29" s="47">
        <f t="shared" si="11"/>
        <v>103543.51</v>
      </c>
    </row>
    <row r="30" spans="1:17" s="38" customFormat="1" ht="10.199999999999999" x14ac:dyDescent="0.2">
      <c r="A30" s="84" t="s">
        <v>75</v>
      </c>
      <c r="B30" s="116">
        <v>0</v>
      </c>
      <c r="C30" s="116">
        <v>0</v>
      </c>
      <c r="D30" s="113">
        <v>11</v>
      </c>
      <c r="E30" s="48">
        <v>0</v>
      </c>
      <c r="F30" s="48">
        <v>0</v>
      </c>
      <c r="G30" s="49">
        <v>9959</v>
      </c>
      <c r="H30" s="47">
        <f>SUM(E30:G30)</f>
        <v>9959</v>
      </c>
      <c r="I30" s="85">
        <v>0</v>
      </c>
      <c r="J30" s="86">
        <f>95000+3000+2000+76559</f>
        <v>176559</v>
      </c>
      <c r="K30" s="43">
        <f t="shared" si="13"/>
        <v>186518</v>
      </c>
      <c r="L30" s="83">
        <v>135</v>
      </c>
      <c r="M30" s="48">
        <f>280700+25000+29510+13800+16400+40000+3951</f>
        <v>409361</v>
      </c>
      <c r="N30" s="47">
        <f t="shared" si="10"/>
        <v>409496</v>
      </c>
      <c r="O30" s="48">
        <v>2391</v>
      </c>
      <c r="P30" s="49">
        <v>89710.57</v>
      </c>
      <c r="Q30" s="47">
        <f t="shared" si="11"/>
        <v>92101.57</v>
      </c>
    </row>
    <row r="31" spans="1:17" s="50" customFormat="1" ht="14.1" customHeight="1" x14ac:dyDescent="0.2">
      <c r="A31" s="87" t="s">
        <v>47</v>
      </c>
      <c r="B31" s="59">
        <f t="shared" ref="B31:J31" si="14">SUM(B25:B30)</f>
        <v>44.43</v>
      </c>
      <c r="C31" s="59">
        <f t="shared" si="14"/>
        <v>5</v>
      </c>
      <c r="D31" s="59">
        <f t="shared" si="14"/>
        <v>30</v>
      </c>
      <c r="E31" s="60">
        <f t="shared" si="14"/>
        <v>804503</v>
      </c>
      <c r="F31" s="60">
        <f t="shared" si="14"/>
        <v>0</v>
      </c>
      <c r="G31" s="61">
        <f t="shared" si="14"/>
        <v>9959</v>
      </c>
      <c r="H31" s="62">
        <f t="shared" si="14"/>
        <v>814462</v>
      </c>
      <c r="I31" s="63">
        <f t="shared" si="14"/>
        <v>0</v>
      </c>
      <c r="J31" s="64">
        <f t="shared" si="14"/>
        <v>403282.5</v>
      </c>
      <c r="K31" s="62">
        <f>SUM(H31:J31)</f>
        <v>1217744.5</v>
      </c>
      <c r="L31" s="65">
        <f>SUM(L25:L30)</f>
        <v>398785</v>
      </c>
      <c r="M31" s="60">
        <f>SUM(M25:M30)</f>
        <v>784557</v>
      </c>
      <c r="N31" s="62">
        <f>SUM(L31:M31)</f>
        <v>1183342</v>
      </c>
      <c r="O31" s="65">
        <f>SUM(O25:O30)</f>
        <v>80373</v>
      </c>
      <c r="P31" s="60">
        <f>SUM(P25:P30)</f>
        <v>153227.25</v>
      </c>
      <c r="Q31" s="62">
        <f>SUM(O31:P31)</f>
        <v>233600.25</v>
      </c>
    </row>
    <row r="32" spans="1:17" s="38" customFormat="1" ht="30" customHeight="1" x14ac:dyDescent="0.2">
      <c r="A32" s="23" t="s">
        <v>36</v>
      </c>
      <c r="B32" s="67"/>
      <c r="C32" s="67"/>
      <c r="D32" s="67"/>
      <c r="E32" s="68"/>
      <c r="F32" s="68"/>
      <c r="G32" s="69"/>
      <c r="H32" s="70"/>
      <c r="I32" s="71"/>
      <c r="J32" s="72"/>
      <c r="K32" s="73"/>
      <c r="L32" s="74"/>
      <c r="M32" s="109"/>
      <c r="N32" s="76"/>
      <c r="O32" s="77"/>
      <c r="P32" s="78"/>
      <c r="Q32" s="79"/>
    </row>
    <row r="33" spans="1:22" s="154" customFormat="1" ht="10.199999999999999" x14ac:dyDescent="0.2">
      <c r="A33" s="84" t="s">
        <v>6</v>
      </c>
      <c r="B33" s="52">
        <v>10</v>
      </c>
      <c r="C33" s="52"/>
      <c r="D33" s="113">
        <v>4.2</v>
      </c>
      <c r="E33" s="54">
        <v>376630</v>
      </c>
      <c r="F33" s="114"/>
      <c r="G33" s="54"/>
      <c r="H33" s="82">
        <f>E33+F33+G33</f>
        <v>376630</v>
      </c>
      <c r="I33" s="55"/>
      <c r="J33" s="115">
        <f>19722+5000</f>
        <v>24722</v>
      </c>
      <c r="K33" s="43">
        <f>SUM(H33:J33)</f>
        <v>401352</v>
      </c>
      <c r="L33" s="83">
        <f>155145+59086+3825.46+1800</f>
        <v>219856.46</v>
      </c>
      <c r="M33" s="110"/>
      <c r="N33" s="47">
        <f t="shared" ref="N33:N36" si="15">SUM(L33:M33)</f>
        <v>219856.46</v>
      </c>
      <c r="O33" s="48">
        <v>18868</v>
      </c>
      <c r="P33" s="49">
        <v>4934</v>
      </c>
      <c r="Q33" s="47">
        <f>SUM(O33:P33)</f>
        <v>23802</v>
      </c>
      <c r="R33" s="50"/>
      <c r="S33" s="50"/>
      <c r="T33" s="50"/>
    </row>
    <row r="34" spans="1:22" s="154" customFormat="1" ht="10.199999999999999" x14ac:dyDescent="0.2">
      <c r="A34" s="84" t="s">
        <v>7</v>
      </c>
      <c r="B34" s="116">
        <v>15.5</v>
      </c>
      <c r="C34" s="52">
        <v>3</v>
      </c>
      <c r="D34" s="53">
        <v>2</v>
      </c>
      <c r="E34" s="54">
        <v>431879</v>
      </c>
      <c r="F34" s="54"/>
      <c r="G34" s="54"/>
      <c r="H34" s="82">
        <f t="shared" ref="H34:H43" si="16">E34+F34+G34</f>
        <v>431879</v>
      </c>
      <c r="I34" s="55"/>
      <c r="J34" s="115">
        <f>18545+9000</f>
        <v>27545</v>
      </c>
      <c r="K34" s="43">
        <f>SUM(H34:J34)</f>
        <v>459424</v>
      </c>
      <c r="L34" s="83">
        <f>177904+67754+9153.76+3600+7700</f>
        <v>266111.76</v>
      </c>
      <c r="M34" s="110"/>
      <c r="N34" s="47">
        <f t="shared" si="15"/>
        <v>266111.76</v>
      </c>
      <c r="O34" s="48">
        <v>-13871</v>
      </c>
      <c r="P34" s="49">
        <v>47011</v>
      </c>
      <c r="Q34" s="47">
        <f t="shared" ref="Q34:Q43" si="17">SUM(O34:P34)</f>
        <v>33140</v>
      </c>
    </row>
    <row r="35" spans="1:22" s="154" customFormat="1" ht="10.199999999999999" x14ac:dyDescent="0.2">
      <c r="A35" s="84" t="s">
        <v>8</v>
      </c>
      <c r="B35" s="116">
        <v>25</v>
      </c>
      <c r="C35" s="52">
        <v>2</v>
      </c>
      <c r="D35" s="53">
        <v>2</v>
      </c>
      <c r="E35" s="54">
        <v>724401</v>
      </c>
      <c r="F35" s="54"/>
      <c r="G35" s="54"/>
      <c r="H35" s="82">
        <f t="shared" si="16"/>
        <v>724401</v>
      </c>
      <c r="I35" s="55"/>
      <c r="J35" s="115">
        <f>28501+11000</f>
        <v>39501</v>
      </c>
      <c r="K35" s="43">
        <f t="shared" ref="K35:K42" si="18">SUM(H35:J35)</f>
        <v>763902</v>
      </c>
      <c r="L35" s="83">
        <f>298403+113645+7979.19+3600</f>
        <v>423627.19</v>
      </c>
      <c r="M35" s="110"/>
      <c r="N35" s="47">
        <f t="shared" si="15"/>
        <v>423627.19</v>
      </c>
      <c r="O35" s="48">
        <v>101118</v>
      </c>
      <c r="P35" s="49">
        <v>62417</v>
      </c>
      <c r="Q35" s="47">
        <f t="shared" si="17"/>
        <v>163535</v>
      </c>
    </row>
    <row r="36" spans="1:22" s="154" customFormat="1" ht="10.199999999999999" x14ac:dyDescent="0.2">
      <c r="A36" s="84" t="s">
        <v>48</v>
      </c>
      <c r="B36" s="52">
        <v>13</v>
      </c>
      <c r="C36" s="52">
        <v>3</v>
      </c>
      <c r="D36" s="53">
        <v>2</v>
      </c>
      <c r="E36" s="54">
        <v>254772</v>
      </c>
      <c r="F36" s="54"/>
      <c r="G36" s="54"/>
      <c r="H36" s="82">
        <f t="shared" si="16"/>
        <v>254772</v>
      </c>
      <c r="I36" s="55"/>
      <c r="J36" s="115">
        <f>13090+7500</f>
        <v>20590</v>
      </c>
      <c r="K36" s="43">
        <f t="shared" si="18"/>
        <v>275362</v>
      </c>
      <c r="L36" s="83">
        <f>104948+39969+2392.66+1800</f>
        <v>149109.66</v>
      </c>
      <c r="M36" s="110"/>
      <c r="N36" s="47">
        <f t="shared" si="15"/>
        <v>149109.66</v>
      </c>
      <c r="O36" s="48">
        <v>21485</v>
      </c>
      <c r="P36" s="49">
        <v>56954</v>
      </c>
      <c r="Q36" s="47">
        <f t="shared" si="17"/>
        <v>78439</v>
      </c>
    </row>
    <row r="37" spans="1:22" s="154" customFormat="1" ht="10.199999999999999" x14ac:dyDescent="0.2">
      <c r="A37" s="88" t="s">
        <v>49</v>
      </c>
      <c r="B37" s="89"/>
      <c r="C37" s="89"/>
      <c r="D37" s="90"/>
      <c r="E37" s="91">
        <v>219493</v>
      </c>
      <c r="F37" s="91"/>
      <c r="G37" s="91"/>
      <c r="H37" s="92">
        <f t="shared" si="16"/>
        <v>219493</v>
      </c>
      <c r="I37" s="93"/>
      <c r="J37" s="111">
        <v>2218</v>
      </c>
      <c r="K37" s="95">
        <f>SUM(I37:J37)</f>
        <v>2218</v>
      </c>
      <c r="L37" s="96">
        <f>90416+34434+25506.51</f>
        <v>150356.51</v>
      </c>
      <c r="M37" s="111"/>
      <c r="N37" s="92">
        <f>SUM(L37:M37)</f>
        <v>150356.51</v>
      </c>
      <c r="O37" s="91"/>
      <c r="P37" s="97">
        <v>11350</v>
      </c>
      <c r="Q37" s="92">
        <f t="shared" si="17"/>
        <v>11350</v>
      </c>
    </row>
    <row r="38" spans="1:22" s="154" customFormat="1" ht="10.199999999999999" x14ac:dyDescent="0.2">
      <c r="A38" s="84" t="s">
        <v>9</v>
      </c>
      <c r="B38" s="52"/>
      <c r="C38" s="52">
        <v>1</v>
      </c>
      <c r="D38" s="53">
        <v>1</v>
      </c>
      <c r="E38" s="54"/>
      <c r="F38" s="54"/>
      <c r="G38" s="54"/>
      <c r="H38" s="82">
        <f t="shared" si="16"/>
        <v>0</v>
      </c>
      <c r="I38" s="55"/>
      <c r="J38" s="115">
        <v>5000</v>
      </c>
      <c r="K38" s="43">
        <f t="shared" si="18"/>
        <v>5000</v>
      </c>
      <c r="L38" s="83"/>
      <c r="M38" s="110"/>
      <c r="N38" s="47">
        <f t="shared" ref="N38:N43" si="19">SUM(L38:M38)</f>
        <v>0</v>
      </c>
      <c r="O38" s="48">
        <v>5125</v>
      </c>
      <c r="P38" s="49"/>
      <c r="Q38" s="47">
        <f t="shared" si="17"/>
        <v>5125</v>
      </c>
    </row>
    <row r="39" spans="1:22" s="154" customFormat="1" ht="10.199999999999999" x14ac:dyDescent="0.2">
      <c r="A39" s="84" t="s">
        <v>10</v>
      </c>
      <c r="B39" s="52">
        <v>6.5</v>
      </c>
      <c r="C39" s="52"/>
      <c r="D39" s="53">
        <v>4</v>
      </c>
      <c r="E39" s="54">
        <v>89693</v>
      </c>
      <c r="F39" s="54"/>
      <c r="G39" s="54"/>
      <c r="H39" s="82">
        <f t="shared" si="16"/>
        <v>89693</v>
      </c>
      <c r="I39" s="55"/>
      <c r="J39" s="115">
        <f>6958+3000</f>
        <v>9958</v>
      </c>
      <c r="K39" s="43">
        <f t="shared" si="18"/>
        <v>99651</v>
      </c>
      <c r="L39" s="83">
        <f>36947+14071+4110.33+1800</f>
        <v>56928.33</v>
      </c>
      <c r="M39" s="110"/>
      <c r="N39" s="47">
        <f t="shared" si="19"/>
        <v>56928.33</v>
      </c>
      <c r="O39" s="48">
        <v>17437</v>
      </c>
      <c r="P39" s="49">
        <v>3171</v>
      </c>
      <c r="Q39" s="47">
        <f t="shared" si="17"/>
        <v>20608</v>
      </c>
    </row>
    <row r="40" spans="1:22" s="154" customFormat="1" ht="10.199999999999999" x14ac:dyDescent="0.2">
      <c r="A40" s="84" t="s">
        <v>11</v>
      </c>
      <c r="B40" s="52">
        <v>6.17</v>
      </c>
      <c r="C40" s="52">
        <v>1</v>
      </c>
      <c r="D40" s="53">
        <v>1</v>
      </c>
      <c r="E40" s="54">
        <v>252243</v>
      </c>
      <c r="F40" s="54"/>
      <c r="G40" s="54"/>
      <c r="H40" s="82">
        <f t="shared" si="16"/>
        <v>252243</v>
      </c>
      <c r="I40" s="55"/>
      <c r="J40" s="115">
        <f>8944+3000</f>
        <v>11944</v>
      </c>
      <c r="K40" s="43">
        <f t="shared" si="18"/>
        <v>264187</v>
      </c>
      <c r="L40" s="83">
        <f>103907+39572+5059.49+1800+6240</f>
        <v>156578.49</v>
      </c>
      <c r="M40" s="110"/>
      <c r="N40" s="47">
        <f t="shared" si="19"/>
        <v>156578.49</v>
      </c>
      <c r="O40" s="48">
        <v>13966</v>
      </c>
      <c r="P40" s="49">
        <v>5372</v>
      </c>
      <c r="Q40" s="47">
        <f t="shared" si="17"/>
        <v>19338</v>
      </c>
    </row>
    <row r="41" spans="1:22" s="154" customFormat="1" ht="10.199999999999999" x14ac:dyDescent="0.2">
      <c r="A41" s="84" t="s">
        <v>12</v>
      </c>
      <c r="B41" s="52">
        <v>6.5</v>
      </c>
      <c r="C41" s="52">
        <v>1</v>
      </c>
      <c r="D41" s="53">
        <v>5</v>
      </c>
      <c r="E41" s="54">
        <v>155386</v>
      </c>
      <c r="F41" s="54"/>
      <c r="G41" s="54"/>
      <c r="H41" s="82">
        <f t="shared" si="16"/>
        <v>155386</v>
      </c>
      <c r="I41" s="55"/>
      <c r="J41" s="115">
        <f>7022+3000</f>
        <v>10022</v>
      </c>
      <c r="K41" s="43">
        <f t="shared" si="18"/>
        <v>165408</v>
      </c>
      <c r="L41" s="83">
        <f>64008+24377+1800+4700+4700</f>
        <v>99585</v>
      </c>
      <c r="M41" s="110"/>
      <c r="N41" s="47">
        <f t="shared" si="19"/>
        <v>99585</v>
      </c>
      <c r="O41" s="48">
        <v>20648</v>
      </c>
      <c r="P41" s="49">
        <v>6010</v>
      </c>
      <c r="Q41" s="47">
        <f t="shared" si="17"/>
        <v>26658</v>
      </c>
    </row>
    <row r="42" spans="1:22" s="154" customFormat="1" ht="10.199999999999999" x14ac:dyDescent="0.2">
      <c r="A42" s="84" t="s">
        <v>13</v>
      </c>
      <c r="B42" s="52"/>
      <c r="C42" s="52"/>
      <c r="D42" s="53">
        <v>5.5</v>
      </c>
      <c r="E42" s="54"/>
      <c r="F42" s="54">
        <v>11894</v>
      </c>
      <c r="G42" s="54"/>
      <c r="H42" s="82">
        <f t="shared" si="16"/>
        <v>11894</v>
      </c>
      <c r="I42" s="55"/>
      <c r="J42" s="115">
        <v>76442</v>
      </c>
      <c r="K42" s="43">
        <f t="shared" si="18"/>
        <v>88336</v>
      </c>
      <c r="L42" s="83"/>
      <c r="M42" s="110"/>
      <c r="N42" s="47">
        <f t="shared" si="19"/>
        <v>0</v>
      </c>
      <c r="O42" s="48">
        <v>15575</v>
      </c>
      <c r="P42" s="49"/>
      <c r="Q42" s="47">
        <f t="shared" si="17"/>
        <v>15575</v>
      </c>
    </row>
    <row r="43" spans="1:22" s="154" customFormat="1" ht="10.199999999999999" x14ac:dyDescent="0.2">
      <c r="A43" s="51" t="s">
        <v>5</v>
      </c>
      <c r="B43" s="52"/>
      <c r="C43" s="52"/>
      <c r="D43" s="113">
        <v>11</v>
      </c>
      <c r="E43" s="54"/>
      <c r="F43" s="54"/>
      <c r="G43" s="117">
        <v>37910</v>
      </c>
      <c r="H43" s="82">
        <f t="shared" si="16"/>
        <v>37910</v>
      </c>
      <c r="I43" s="55"/>
      <c r="J43" s="117">
        <f>52362-5000</f>
        <v>47362</v>
      </c>
      <c r="K43" s="43">
        <f>SUM(H43:J43)</f>
        <v>85272</v>
      </c>
      <c r="L43" s="83">
        <f>408197+58006.76+3912+30720+33624+85009</f>
        <v>619468.76</v>
      </c>
      <c r="M43" s="118">
        <v>242882</v>
      </c>
      <c r="N43" s="47">
        <f t="shared" si="19"/>
        <v>862350.76</v>
      </c>
      <c r="O43" s="83">
        <v>977072</v>
      </c>
      <c r="P43" s="49"/>
      <c r="Q43" s="47">
        <f t="shared" si="17"/>
        <v>977072</v>
      </c>
      <c r="R43" s="50"/>
      <c r="S43" s="50"/>
      <c r="T43" s="50"/>
    </row>
    <row r="44" spans="1:22" s="50" customFormat="1" ht="14.1" customHeight="1" x14ac:dyDescent="0.2">
      <c r="A44" s="87" t="s">
        <v>47</v>
      </c>
      <c r="B44" s="59">
        <f>SUM(B33:B43)</f>
        <v>82.67</v>
      </c>
      <c r="C44" s="59">
        <f>SUM(C33:C43)</f>
        <v>11</v>
      </c>
      <c r="D44" s="59">
        <f t="shared" ref="D44:G44" si="20">SUM(D33:D43)</f>
        <v>37.700000000000003</v>
      </c>
      <c r="E44" s="98">
        <f t="shared" si="20"/>
        <v>2504497</v>
      </c>
      <c r="F44" s="119">
        <f t="shared" si="20"/>
        <v>11894</v>
      </c>
      <c r="G44" s="98">
        <f t="shared" si="20"/>
        <v>37910</v>
      </c>
      <c r="H44" s="62">
        <f>SUM(H33:H43)</f>
        <v>2554301</v>
      </c>
      <c r="I44" s="63">
        <f>SUM(I33:I43)</f>
        <v>0</v>
      </c>
      <c r="J44" s="64">
        <f>SUM(J33:J43)</f>
        <v>275304</v>
      </c>
      <c r="K44" s="62">
        <f>SUM(H44:J44)</f>
        <v>2829605</v>
      </c>
      <c r="L44" s="65">
        <f>SUM(L33:L43)</f>
        <v>2141622.16</v>
      </c>
      <c r="M44" s="99">
        <f>SUM(M33:M43)</f>
        <v>242882</v>
      </c>
      <c r="N44" s="62">
        <f>SUM(L44:M44)</f>
        <v>2384504.16</v>
      </c>
      <c r="O44" s="60">
        <f>SUM(O33:O43)</f>
        <v>1177423</v>
      </c>
      <c r="P44" s="61">
        <f>SUM(P33:P43)</f>
        <v>197219</v>
      </c>
      <c r="Q44" s="62">
        <f>SUM(O44:P44)</f>
        <v>1374642</v>
      </c>
    </row>
    <row r="45" spans="1:22" s="38" customFormat="1" ht="30" customHeight="1" x14ac:dyDescent="0.2">
      <c r="A45" s="23" t="s">
        <v>14</v>
      </c>
      <c r="B45" s="67"/>
      <c r="C45" s="67"/>
      <c r="D45" s="67"/>
      <c r="E45" s="68"/>
      <c r="F45" s="68"/>
      <c r="G45" s="69"/>
      <c r="H45" s="70"/>
      <c r="I45" s="71"/>
      <c r="J45" s="72"/>
      <c r="K45" s="73"/>
      <c r="L45" s="74"/>
      <c r="M45" s="112"/>
      <c r="N45" s="76"/>
      <c r="O45" s="77"/>
      <c r="P45" s="78"/>
      <c r="Q45" s="79"/>
    </row>
    <row r="46" spans="1:22" s="154" customFormat="1" ht="10.199999999999999" x14ac:dyDescent="0.2">
      <c r="A46" s="84" t="s">
        <v>15</v>
      </c>
      <c r="B46" s="52">
        <v>15.5</v>
      </c>
      <c r="C46" s="52"/>
      <c r="D46" s="53">
        <v>6</v>
      </c>
      <c r="E46" s="54">
        <v>305680</v>
      </c>
      <c r="F46" s="54"/>
      <c r="G46" s="54"/>
      <c r="H46" s="82">
        <f>E46+F46+G46</f>
        <v>305680</v>
      </c>
      <c r="I46" s="55"/>
      <c r="J46" s="56">
        <v>26413</v>
      </c>
      <c r="K46" s="43">
        <f>SUM(H46:J46)</f>
        <v>332093</v>
      </c>
      <c r="L46" s="83">
        <v>100954</v>
      </c>
      <c r="M46" s="110">
        <v>90087</v>
      </c>
      <c r="N46" s="47">
        <f t="shared" ref="N46:N57" si="21">SUM(L46:M46)</f>
        <v>191041</v>
      </c>
      <c r="O46" s="48">
        <v>20544</v>
      </c>
      <c r="P46" s="49">
        <v>51428</v>
      </c>
      <c r="Q46" s="47">
        <f t="shared" ref="Q46:Q57" si="22">SUM(O46:P46)</f>
        <v>71972</v>
      </c>
      <c r="R46" s="108"/>
      <c r="S46" s="50"/>
      <c r="T46" s="50"/>
      <c r="U46" s="50"/>
      <c r="V46" s="108"/>
    </row>
    <row r="47" spans="1:22" s="154" customFormat="1" ht="10.199999999999999" x14ac:dyDescent="0.2">
      <c r="A47" s="84" t="s">
        <v>16</v>
      </c>
      <c r="B47" s="52">
        <v>13.5</v>
      </c>
      <c r="C47" s="52"/>
      <c r="D47" s="53">
        <v>5</v>
      </c>
      <c r="E47" s="54">
        <v>215443</v>
      </c>
      <c r="F47" s="54"/>
      <c r="G47" s="54"/>
      <c r="H47" s="82">
        <f t="shared" ref="H47:H57" si="23">E47+F47+G47</f>
        <v>215443</v>
      </c>
      <c r="I47" s="55"/>
      <c r="J47" s="56">
        <v>25192</v>
      </c>
      <c r="K47" s="43">
        <f>SUM(H47:J47)</f>
        <v>240635</v>
      </c>
      <c r="L47" s="83">
        <v>50377</v>
      </c>
      <c r="M47" s="110">
        <v>14260</v>
      </c>
      <c r="N47" s="47">
        <f t="shared" si="21"/>
        <v>64637</v>
      </c>
      <c r="O47" s="48">
        <v>8856</v>
      </c>
      <c r="P47" s="49">
        <v>6490</v>
      </c>
      <c r="Q47" s="47">
        <f t="shared" si="22"/>
        <v>15346</v>
      </c>
      <c r="R47" s="108"/>
      <c r="S47" s="50"/>
      <c r="T47" s="50"/>
      <c r="U47" s="50"/>
      <c r="V47" s="50"/>
    </row>
    <row r="48" spans="1:22" s="154" customFormat="1" ht="10.199999999999999" x14ac:dyDescent="0.2">
      <c r="A48" s="84" t="s">
        <v>17</v>
      </c>
      <c r="B48" s="52">
        <v>13.5</v>
      </c>
      <c r="C48" s="52"/>
      <c r="D48" s="53">
        <v>3.3</v>
      </c>
      <c r="E48" s="54">
        <v>84726</v>
      </c>
      <c r="F48" s="54"/>
      <c r="G48" s="54"/>
      <c r="H48" s="82">
        <f t="shared" si="23"/>
        <v>84726</v>
      </c>
      <c r="I48" s="55"/>
      <c r="J48" s="56">
        <v>13813</v>
      </c>
      <c r="K48" s="43">
        <f>SUM(H48:J48)</f>
        <v>98539</v>
      </c>
      <c r="L48" s="83">
        <v>49568</v>
      </c>
      <c r="M48" s="48">
        <v>113057</v>
      </c>
      <c r="N48" s="47">
        <f t="shared" si="21"/>
        <v>162625</v>
      </c>
      <c r="O48" s="48">
        <v>15118</v>
      </c>
      <c r="P48" s="49">
        <v>8101</v>
      </c>
      <c r="Q48" s="47">
        <f t="shared" si="22"/>
        <v>23219</v>
      </c>
      <c r="R48" s="108"/>
      <c r="S48" s="50"/>
      <c r="T48" s="50"/>
      <c r="U48" s="50"/>
      <c r="V48" s="50"/>
    </row>
    <row r="49" spans="1:22" s="154" customFormat="1" ht="10.199999999999999" x14ac:dyDescent="0.2">
      <c r="A49" s="84" t="s">
        <v>18</v>
      </c>
      <c r="B49" s="52">
        <v>10.5</v>
      </c>
      <c r="C49" s="52">
        <v>1</v>
      </c>
      <c r="D49" s="53">
        <v>1.5</v>
      </c>
      <c r="E49" s="54">
        <v>265656</v>
      </c>
      <c r="F49" s="54"/>
      <c r="G49" s="54">
        <v>2400</v>
      </c>
      <c r="H49" s="82">
        <f t="shared" si="23"/>
        <v>268056</v>
      </c>
      <c r="I49" s="55"/>
      <c r="J49" s="56">
        <v>15756</v>
      </c>
      <c r="K49" s="43">
        <f t="shared" ref="K49:K56" si="24">SUM(H49:J49)</f>
        <v>283812</v>
      </c>
      <c r="L49" s="83">
        <v>26253</v>
      </c>
      <c r="M49" s="48">
        <v>-7106</v>
      </c>
      <c r="N49" s="47">
        <f t="shared" si="21"/>
        <v>19147</v>
      </c>
      <c r="O49" s="48">
        <v>11324</v>
      </c>
      <c r="P49" s="49">
        <v>55952</v>
      </c>
      <c r="Q49" s="47">
        <f t="shared" si="22"/>
        <v>67276</v>
      </c>
      <c r="R49" s="108"/>
      <c r="S49" s="50"/>
      <c r="T49" s="50"/>
      <c r="U49" s="50"/>
      <c r="V49" s="50"/>
    </row>
    <row r="50" spans="1:22" s="154" customFormat="1" ht="10.199999999999999" x14ac:dyDescent="0.2">
      <c r="A50" s="84" t="s">
        <v>19</v>
      </c>
      <c r="B50" s="52">
        <v>22.5</v>
      </c>
      <c r="C50" s="52">
        <v>3</v>
      </c>
      <c r="D50" s="53">
        <v>3.7</v>
      </c>
      <c r="E50" s="54">
        <v>408918</v>
      </c>
      <c r="F50" s="54"/>
      <c r="G50" s="54"/>
      <c r="H50" s="82">
        <f t="shared" si="23"/>
        <v>408918</v>
      </c>
      <c r="I50" s="55"/>
      <c r="J50" s="56">
        <v>22340</v>
      </c>
      <c r="K50" s="43">
        <f t="shared" si="24"/>
        <v>431258</v>
      </c>
      <c r="L50" s="83">
        <v>164170</v>
      </c>
      <c r="M50" s="48">
        <v>230563.4</v>
      </c>
      <c r="N50" s="47">
        <f t="shared" si="21"/>
        <v>394733.4</v>
      </c>
      <c r="O50" s="48">
        <v>52675</v>
      </c>
      <c r="P50" s="49">
        <v>65698</v>
      </c>
      <c r="Q50" s="47">
        <f t="shared" si="22"/>
        <v>118373</v>
      </c>
      <c r="R50" s="108"/>
      <c r="S50" s="50"/>
      <c r="T50" s="108"/>
      <c r="U50" s="50"/>
      <c r="V50" s="50"/>
    </row>
    <row r="51" spans="1:22" s="154" customFormat="1" ht="10.199999999999999" x14ac:dyDescent="0.2">
      <c r="A51" s="88" t="s">
        <v>50</v>
      </c>
      <c r="B51" s="89"/>
      <c r="C51" s="89"/>
      <c r="D51" s="90"/>
      <c r="E51" s="91">
        <v>182093</v>
      </c>
      <c r="F51" s="91"/>
      <c r="G51" s="91"/>
      <c r="H51" s="92">
        <f t="shared" si="23"/>
        <v>182093</v>
      </c>
      <c r="I51" s="93"/>
      <c r="J51" s="94">
        <v>7286</v>
      </c>
      <c r="K51" s="95">
        <f t="shared" si="24"/>
        <v>189379</v>
      </c>
      <c r="L51" s="96">
        <v>21468</v>
      </c>
      <c r="M51" s="91">
        <v>-627652</v>
      </c>
      <c r="N51" s="92">
        <f t="shared" si="21"/>
        <v>-606184</v>
      </c>
      <c r="O51" s="91">
        <v>1068</v>
      </c>
      <c r="P51" s="97"/>
      <c r="Q51" s="92">
        <f t="shared" si="22"/>
        <v>1068</v>
      </c>
      <c r="R51" s="108"/>
      <c r="S51" s="50"/>
      <c r="T51" s="50"/>
      <c r="U51" s="50"/>
      <c r="V51" s="50"/>
    </row>
    <row r="52" spans="1:22" s="154" customFormat="1" ht="10.199999999999999" x14ac:dyDescent="0.2">
      <c r="A52" s="84" t="s">
        <v>20</v>
      </c>
      <c r="B52" s="52">
        <v>8.33</v>
      </c>
      <c r="C52" s="52">
        <v>6</v>
      </c>
      <c r="D52" s="53">
        <v>5</v>
      </c>
      <c r="E52" s="54">
        <v>417878</v>
      </c>
      <c r="F52" s="54">
        <v>59540</v>
      </c>
      <c r="G52" s="54"/>
      <c r="H52" s="82">
        <f t="shared" si="23"/>
        <v>477418</v>
      </c>
      <c r="I52" s="55"/>
      <c r="J52" s="56">
        <v>18544</v>
      </c>
      <c r="K52" s="43">
        <f t="shared" si="24"/>
        <v>495962</v>
      </c>
      <c r="L52" s="83">
        <v>7956</v>
      </c>
      <c r="M52" s="48">
        <v>47773</v>
      </c>
      <c r="N52" s="47">
        <f t="shared" si="21"/>
        <v>55729</v>
      </c>
      <c r="O52" s="48">
        <v>12196</v>
      </c>
      <c r="P52" s="49">
        <v>52539</v>
      </c>
      <c r="Q52" s="47">
        <f t="shared" si="22"/>
        <v>64735</v>
      </c>
      <c r="R52" s="108"/>
      <c r="S52" s="50"/>
      <c r="T52" s="50"/>
      <c r="U52" s="50"/>
      <c r="V52" s="50"/>
    </row>
    <row r="53" spans="1:22" s="154" customFormat="1" ht="10.199999999999999" x14ac:dyDescent="0.2">
      <c r="A53" s="84" t="s">
        <v>21</v>
      </c>
      <c r="B53" s="52">
        <v>12</v>
      </c>
      <c r="C53" s="52">
        <v>1.33</v>
      </c>
      <c r="D53" s="53">
        <v>3.5</v>
      </c>
      <c r="E53" s="54">
        <v>406911</v>
      </c>
      <c r="F53" s="54">
        <v>28968</v>
      </c>
      <c r="G53" s="54"/>
      <c r="H53" s="82">
        <f t="shared" si="23"/>
        <v>435879</v>
      </c>
      <c r="I53" s="55"/>
      <c r="J53" s="56">
        <v>23793</v>
      </c>
      <c r="K53" s="43">
        <f t="shared" si="24"/>
        <v>459672</v>
      </c>
      <c r="L53" s="83">
        <v>20933</v>
      </c>
      <c r="M53" s="48">
        <v>113174</v>
      </c>
      <c r="N53" s="47">
        <f t="shared" si="21"/>
        <v>134107</v>
      </c>
      <c r="O53" s="48">
        <v>98896</v>
      </c>
      <c r="P53" s="49">
        <v>27278</v>
      </c>
      <c r="Q53" s="47">
        <f t="shared" si="22"/>
        <v>126174</v>
      </c>
      <c r="R53" s="108"/>
      <c r="S53" s="50"/>
      <c r="T53" s="50"/>
      <c r="U53" s="50"/>
      <c r="V53" s="50"/>
    </row>
    <row r="54" spans="1:22" s="154" customFormat="1" ht="10.199999999999999" x14ac:dyDescent="0.2">
      <c r="A54" s="84" t="s">
        <v>22</v>
      </c>
      <c r="B54" s="52">
        <v>6.67</v>
      </c>
      <c r="C54" s="52"/>
      <c r="D54" s="120">
        <v>2</v>
      </c>
      <c r="E54" s="54">
        <v>113080</v>
      </c>
      <c r="F54" s="54"/>
      <c r="G54" s="54"/>
      <c r="H54" s="82">
        <f t="shared" si="23"/>
        <v>113080</v>
      </c>
      <c r="I54" s="55"/>
      <c r="J54" s="56">
        <v>9097</v>
      </c>
      <c r="K54" s="43">
        <f t="shared" si="24"/>
        <v>122177</v>
      </c>
      <c r="L54" s="83">
        <v>5017</v>
      </c>
      <c r="M54" s="48">
        <v>27270</v>
      </c>
      <c r="N54" s="47">
        <f t="shared" si="21"/>
        <v>32287</v>
      </c>
      <c r="O54" s="48">
        <v>13936</v>
      </c>
      <c r="P54" s="49">
        <v>10645</v>
      </c>
      <c r="Q54" s="47">
        <f t="shared" si="22"/>
        <v>24581</v>
      </c>
      <c r="R54" s="108"/>
      <c r="S54" s="50"/>
      <c r="T54" s="50"/>
      <c r="U54" s="50"/>
      <c r="V54" s="50"/>
    </row>
    <row r="55" spans="1:22" s="154" customFormat="1" ht="10.199999999999999" x14ac:dyDescent="0.2">
      <c r="A55" s="84" t="s">
        <v>23</v>
      </c>
      <c r="B55" s="52">
        <v>5.8</v>
      </c>
      <c r="C55" s="52"/>
      <c r="D55" s="120">
        <v>1</v>
      </c>
      <c r="E55" s="54">
        <v>98185</v>
      </c>
      <c r="F55" s="54"/>
      <c r="G55" s="54"/>
      <c r="H55" s="82">
        <f t="shared" si="23"/>
        <v>98185</v>
      </c>
      <c r="I55" s="55"/>
      <c r="J55" s="56">
        <v>9097</v>
      </c>
      <c r="K55" s="43">
        <f t="shared" si="24"/>
        <v>107282</v>
      </c>
      <c r="L55" s="83">
        <v>8980</v>
      </c>
      <c r="M55" s="48">
        <v>122781</v>
      </c>
      <c r="N55" s="47">
        <f t="shared" si="21"/>
        <v>131761</v>
      </c>
      <c r="O55" s="48">
        <v>120999</v>
      </c>
      <c r="P55" s="49">
        <v>2926</v>
      </c>
      <c r="Q55" s="47">
        <f t="shared" si="22"/>
        <v>123925</v>
      </c>
      <c r="R55" s="108"/>
      <c r="S55" s="50"/>
      <c r="T55" s="50"/>
      <c r="U55" s="50"/>
      <c r="V55" s="50"/>
    </row>
    <row r="56" spans="1:22" s="154" customFormat="1" ht="10.199999999999999" x14ac:dyDescent="0.2">
      <c r="A56" s="84" t="s">
        <v>24</v>
      </c>
      <c r="B56" s="52"/>
      <c r="C56" s="52"/>
      <c r="D56" s="53">
        <v>1</v>
      </c>
      <c r="E56" s="54"/>
      <c r="F56" s="54"/>
      <c r="G56" s="54"/>
      <c r="H56" s="82">
        <f t="shared" si="23"/>
        <v>0</v>
      </c>
      <c r="I56" s="55"/>
      <c r="J56" s="56"/>
      <c r="K56" s="43">
        <f t="shared" si="24"/>
        <v>0</v>
      </c>
      <c r="L56" s="83"/>
      <c r="M56" s="48">
        <v>-1579</v>
      </c>
      <c r="N56" s="47">
        <f t="shared" si="21"/>
        <v>-1579</v>
      </c>
      <c r="O56" s="48">
        <v>0</v>
      </c>
      <c r="P56" s="49"/>
      <c r="Q56" s="47">
        <f t="shared" si="22"/>
        <v>0</v>
      </c>
      <c r="R56" s="108"/>
      <c r="S56" s="50"/>
      <c r="T56" s="50"/>
      <c r="U56" s="50"/>
      <c r="V56" s="50"/>
    </row>
    <row r="57" spans="1:22" s="154" customFormat="1" ht="10.199999999999999" x14ac:dyDescent="0.2">
      <c r="A57" s="51" t="s">
        <v>5</v>
      </c>
      <c r="B57" s="52"/>
      <c r="C57" s="52"/>
      <c r="D57" s="53">
        <v>10.5</v>
      </c>
      <c r="E57" s="54"/>
      <c r="F57" s="54">
        <v>20584</v>
      </c>
      <c r="G57" s="54">
        <v>22683</v>
      </c>
      <c r="H57" s="82">
        <f t="shared" si="23"/>
        <v>43267</v>
      </c>
      <c r="I57" s="55"/>
      <c r="J57" s="56">
        <v>40378</v>
      </c>
      <c r="K57" s="43">
        <f>SUM(H57:J57)</f>
        <v>83645</v>
      </c>
      <c r="L57" s="83">
        <v>111724</v>
      </c>
      <c r="M57" s="48">
        <v>-40003</v>
      </c>
      <c r="N57" s="47">
        <f t="shared" si="21"/>
        <v>71721</v>
      </c>
      <c r="O57" s="48"/>
      <c r="P57" s="49">
        <v>6791</v>
      </c>
      <c r="Q57" s="47">
        <f t="shared" si="22"/>
        <v>6791</v>
      </c>
      <c r="R57" s="108"/>
      <c r="S57" s="50"/>
      <c r="T57" s="50"/>
      <c r="U57" s="50"/>
      <c r="V57" s="108"/>
    </row>
    <row r="58" spans="1:22" s="50" customFormat="1" ht="14.1" customHeight="1" x14ac:dyDescent="0.2">
      <c r="A58" s="58" t="s">
        <v>47</v>
      </c>
      <c r="B58" s="59">
        <f>SUM(B46:B57)</f>
        <v>108.3</v>
      </c>
      <c r="C58" s="59">
        <f>SUM(C46:C57)</f>
        <v>11.33</v>
      </c>
      <c r="D58" s="59">
        <f t="shared" ref="D58:G58" si="25">SUM(D46:D57)</f>
        <v>42.5</v>
      </c>
      <c r="E58" s="98">
        <f t="shared" si="25"/>
        <v>2498570</v>
      </c>
      <c r="F58" s="98">
        <f t="shared" si="25"/>
        <v>109092</v>
      </c>
      <c r="G58" s="98">
        <f t="shared" si="25"/>
        <v>25083</v>
      </c>
      <c r="H58" s="62">
        <f>SUM(H46:H57)</f>
        <v>2632745</v>
      </c>
      <c r="I58" s="63">
        <f>SUM(I46:I57)</f>
        <v>0</v>
      </c>
      <c r="J58" s="64">
        <f>SUM(J46:J57)</f>
        <v>211709</v>
      </c>
      <c r="K58" s="62">
        <f>SUM(H58:J58)</f>
        <v>2844454</v>
      </c>
      <c r="L58" s="65">
        <f t="shared" ref="L58:Q58" si="26">SUM(L46:L57)</f>
        <v>567400</v>
      </c>
      <c r="M58" s="65">
        <f t="shared" si="26"/>
        <v>82625.400000000023</v>
      </c>
      <c r="N58" s="62">
        <f t="shared" si="26"/>
        <v>650025.4</v>
      </c>
      <c r="O58" s="65">
        <f>SUM(O46:O57)</f>
        <v>355612</v>
      </c>
      <c r="P58" s="60">
        <f>SUM(P46:P57)</f>
        <v>287848</v>
      </c>
      <c r="Q58" s="62">
        <f t="shared" si="26"/>
        <v>643460</v>
      </c>
      <c r="R58" s="108"/>
    </row>
    <row r="59" spans="1:22" s="38" customFormat="1" ht="30.75" customHeight="1" x14ac:dyDescent="0.2">
      <c r="A59" s="66" t="s">
        <v>25</v>
      </c>
      <c r="B59" s="67"/>
      <c r="C59" s="67"/>
      <c r="D59" s="67"/>
      <c r="E59" s="68"/>
      <c r="F59" s="68"/>
      <c r="G59" s="69"/>
      <c r="H59" s="70"/>
      <c r="I59" s="71"/>
      <c r="J59" s="72"/>
      <c r="K59" s="73"/>
      <c r="L59" s="74"/>
      <c r="M59" s="75"/>
      <c r="N59" s="76"/>
      <c r="O59" s="77"/>
      <c r="P59" s="78"/>
      <c r="Q59" s="79"/>
      <c r="R59" s="50"/>
      <c r="S59" s="50"/>
      <c r="T59" s="50"/>
      <c r="U59" s="50"/>
      <c r="V59" s="50"/>
    </row>
    <row r="60" spans="1:22" s="156" customFormat="1" ht="10.199999999999999" x14ac:dyDescent="0.2">
      <c r="A60" s="84" t="s">
        <v>26</v>
      </c>
      <c r="B60" s="52">
        <v>7</v>
      </c>
      <c r="C60" s="52"/>
      <c r="D60" s="53">
        <v>0.5</v>
      </c>
      <c r="E60" s="54">
        <v>36540.5</v>
      </c>
      <c r="F60" s="54"/>
      <c r="G60" s="54">
        <v>1380.9</v>
      </c>
      <c r="H60" s="82">
        <f>E60+F60+G60</f>
        <v>37921.4</v>
      </c>
      <c r="I60" s="55"/>
      <c r="J60" s="56">
        <v>6826</v>
      </c>
      <c r="K60" s="43">
        <f>SUM(H60:J60)</f>
        <v>44747.4</v>
      </c>
      <c r="L60" s="83">
        <f>6638+42833+542.55</f>
        <v>50013.55</v>
      </c>
      <c r="M60" s="48">
        <v>20000</v>
      </c>
      <c r="N60" s="47">
        <f t="shared" ref="N60:N67" si="27">SUM(L60:M60)</f>
        <v>70013.55</v>
      </c>
      <c r="O60" s="48">
        <v>4437</v>
      </c>
      <c r="P60" s="49">
        <v>11124</v>
      </c>
      <c r="Q60" s="47">
        <f t="shared" ref="Q60:Q72" si="28">SUM(O60:P60)</f>
        <v>15561</v>
      </c>
    </row>
    <row r="61" spans="1:22" s="156" customFormat="1" ht="10.199999999999999" x14ac:dyDescent="0.2">
      <c r="A61" s="84" t="s">
        <v>27</v>
      </c>
      <c r="B61" s="52">
        <v>15</v>
      </c>
      <c r="C61" s="52"/>
      <c r="D61" s="53">
        <v>1</v>
      </c>
      <c r="E61" s="54">
        <v>24177.4</v>
      </c>
      <c r="F61" s="54"/>
      <c r="G61" s="54">
        <v>913.7</v>
      </c>
      <c r="H61" s="82">
        <f t="shared" ref="H61:H72" si="29">E61+F61+G61</f>
        <v>25091.100000000002</v>
      </c>
      <c r="I61" s="55"/>
      <c r="J61" s="56">
        <v>14741</v>
      </c>
      <c r="K61" s="43">
        <f>SUM(H61:J61)</f>
        <v>39832.100000000006</v>
      </c>
      <c r="L61" s="83">
        <f>14462+40223+4688.89</f>
        <v>59373.89</v>
      </c>
      <c r="M61" s="48">
        <v>54503</v>
      </c>
      <c r="N61" s="47">
        <f t="shared" si="27"/>
        <v>113876.89</v>
      </c>
      <c r="O61" s="48">
        <v>22700</v>
      </c>
      <c r="P61" s="49">
        <v>77139</v>
      </c>
      <c r="Q61" s="47">
        <f t="shared" si="28"/>
        <v>99839</v>
      </c>
    </row>
    <row r="62" spans="1:22" s="156" customFormat="1" ht="10.199999999999999" x14ac:dyDescent="0.2">
      <c r="A62" s="84" t="s">
        <v>28</v>
      </c>
      <c r="B62" s="52">
        <f>0.5+4.83</f>
        <v>5.33</v>
      </c>
      <c r="C62" s="52"/>
      <c r="D62" s="53">
        <v>1</v>
      </c>
      <c r="E62" s="54">
        <v>62351.7</v>
      </c>
      <c r="F62" s="54"/>
      <c r="G62" s="54">
        <v>2356.4</v>
      </c>
      <c r="H62" s="82">
        <f t="shared" si="29"/>
        <v>64708.1</v>
      </c>
      <c r="I62" s="55"/>
      <c r="J62" s="56">
        <v>5155</v>
      </c>
      <c r="K62" s="43">
        <f>SUM(H62:J62)</f>
        <v>69863.100000000006</v>
      </c>
      <c r="L62" s="83">
        <f>4965+65883+1049.31</f>
        <v>71897.31</v>
      </c>
      <c r="M62" s="48">
        <v>44386</v>
      </c>
      <c r="N62" s="47">
        <f t="shared" si="27"/>
        <v>116283.31</v>
      </c>
      <c r="O62" s="48">
        <v>0</v>
      </c>
      <c r="P62" s="49">
        <v>13404</v>
      </c>
      <c r="Q62" s="47">
        <f t="shared" si="28"/>
        <v>13404</v>
      </c>
    </row>
    <row r="63" spans="1:22" s="156" customFormat="1" ht="10.199999999999999" x14ac:dyDescent="0.2">
      <c r="A63" s="84" t="s">
        <v>29</v>
      </c>
      <c r="B63" s="52">
        <v>7</v>
      </c>
      <c r="C63" s="52"/>
      <c r="D63" s="53">
        <v>0.5</v>
      </c>
      <c r="E63" s="54">
        <v>10322.200000000001</v>
      </c>
      <c r="F63" s="54"/>
      <c r="G63" s="54">
        <v>390.1</v>
      </c>
      <c r="H63" s="82">
        <f t="shared" si="29"/>
        <v>10712.300000000001</v>
      </c>
      <c r="I63" s="55"/>
      <c r="J63" s="56">
        <v>7824</v>
      </c>
      <c r="K63" s="43">
        <f>SUM(H63:J63)</f>
        <v>18536.300000000003</v>
      </c>
      <c r="L63" s="83">
        <f>7634+6204+2046.77</f>
        <v>15884.77</v>
      </c>
      <c r="M63" s="48">
        <v>45570</v>
      </c>
      <c r="N63" s="47">
        <f t="shared" si="27"/>
        <v>61454.770000000004</v>
      </c>
      <c r="O63" s="48">
        <v>0</v>
      </c>
      <c r="P63" s="49">
        <v>3701</v>
      </c>
      <c r="Q63" s="47">
        <f t="shared" si="28"/>
        <v>3701</v>
      </c>
    </row>
    <row r="64" spans="1:22" s="156" customFormat="1" ht="10.199999999999999" x14ac:dyDescent="0.2">
      <c r="A64" s="84" t="s">
        <v>30</v>
      </c>
      <c r="B64" s="52">
        <f>0.67+12.33</f>
        <v>13</v>
      </c>
      <c r="C64" s="52"/>
      <c r="D64" s="53">
        <v>1</v>
      </c>
      <c r="E64" s="54">
        <v>115679.6</v>
      </c>
      <c r="F64" s="54"/>
      <c r="G64" s="54">
        <v>4371.7</v>
      </c>
      <c r="H64" s="82">
        <f t="shared" si="29"/>
        <v>120051.3</v>
      </c>
      <c r="I64" s="55"/>
      <c r="J64" s="56">
        <v>12582</v>
      </c>
      <c r="K64" s="43">
        <f>SUM(H64:J64)</f>
        <v>132633.29999999999</v>
      </c>
      <c r="L64" s="83">
        <f>12131+104899+6442.3</f>
        <v>123472.3</v>
      </c>
      <c r="M64" s="48">
        <v>45038</v>
      </c>
      <c r="N64" s="47">
        <f t="shared" si="27"/>
        <v>168510.3</v>
      </c>
      <c r="O64" s="48">
        <v>10467</v>
      </c>
      <c r="P64" s="49">
        <v>-520</v>
      </c>
      <c r="Q64" s="47">
        <f t="shared" si="28"/>
        <v>9947</v>
      </c>
    </row>
    <row r="65" spans="1:18" s="156" customFormat="1" ht="10.199999999999999" x14ac:dyDescent="0.2">
      <c r="A65" s="84" t="s">
        <v>31</v>
      </c>
      <c r="B65" s="52">
        <f>0.67+7.83</f>
        <v>8.5</v>
      </c>
      <c r="C65" s="52"/>
      <c r="D65" s="53">
        <v>1</v>
      </c>
      <c r="E65" s="54">
        <v>95943.7</v>
      </c>
      <c r="F65" s="54"/>
      <c r="G65" s="54">
        <v>3625.9</v>
      </c>
      <c r="H65" s="82">
        <f t="shared" si="29"/>
        <v>99569.599999999991</v>
      </c>
      <c r="I65" s="55"/>
      <c r="J65" s="56">
        <v>8180</v>
      </c>
      <c r="K65" s="43">
        <f t="shared" ref="K65:K71" si="30">SUM(H65:J65)</f>
        <v>107749.59999999999</v>
      </c>
      <c r="L65" s="83">
        <f>7834+60322+6848.06</f>
        <v>75004.06</v>
      </c>
      <c r="M65" s="48">
        <v>54199</v>
      </c>
      <c r="N65" s="47">
        <f t="shared" si="27"/>
        <v>129203.06</v>
      </c>
      <c r="O65" s="48">
        <v>0</v>
      </c>
      <c r="P65" s="49">
        <v>11655</v>
      </c>
      <c r="Q65" s="47">
        <f t="shared" si="28"/>
        <v>11655</v>
      </c>
    </row>
    <row r="66" spans="1:18" s="156" customFormat="1" ht="10.199999999999999" x14ac:dyDescent="0.2">
      <c r="A66" s="84" t="s">
        <v>32</v>
      </c>
      <c r="B66" s="52">
        <f>1+31.5</f>
        <v>32.5</v>
      </c>
      <c r="C66" s="52">
        <v>2</v>
      </c>
      <c r="D66" s="53">
        <v>4</v>
      </c>
      <c r="E66" s="54">
        <v>271351.8</v>
      </c>
      <c r="F66" s="54"/>
      <c r="G66" s="54">
        <v>10254.9</v>
      </c>
      <c r="H66" s="82">
        <f t="shared" si="29"/>
        <v>281606.7</v>
      </c>
      <c r="I66" s="55"/>
      <c r="J66" s="56">
        <v>34325</v>
      </c>
      <c r="K66" s="43">
        <f t="shared" si="30"/>
        <v>315931.7</v>
      </c>
      <c r="L66" s="83">
        <f>33054+208847+6456.29+35172.25</f>
        <v>283529.54000000004</v>
      </c>
      <c r="M66" s="48">
        <v>189008</v>
      </c>
      <c r="N66" s="47">
        <f t="shared" si="27"/>
        <v>472537.54000000004</v>
      </c>
      <c r="O66" s="48">
        <v>227024</v>
      </c>
      <c r="P66" s="49">
        <v>26518</v>
      </c>
      <c r="Q66" s="47">
        <f t="shared" si="28"/>
        <v>253542</v>
      </c>
    </row>
    <row r="67" spans="1:18" s="156" customFormat="1" ht="10.199999999999999" x14ac:dyDescent="0.2">
      <c r="A67" s="84" t="s">
        <v>76</v>
      </c>
      <c r="B67" s="52">
        <f>0.67+10.83</f>
        <v>11.5</v>
      </c>
      <c r="C67" s="52"/>
      <c r="D67" s="53">
        <v>1</v>
      </c>
      <c r="E67" s="54">
        <v>129522.9</v>
      </c>
      <c r="F67" s="54"/>
      <c r="G67" s="54">
        <v>4894.8999999999996</v>
      </c>
      <c r="H67" s="82">
        <f t="shared" si="29"/>
        <v>134417.79999999999</v>
      </c>
      <c r="I67" s="55"/>
      <c r="J67" s="56">
        <v>11014</v>
      </c>
      <c r="K67" s="43">
        <f t="shared" si="30"/>
        <v>145431.79999999999</v>
      </c>
      <c r="L67" s="83">
        <f>10499+54779+11866.26</f>
        <v>77144.259999999995</v>
      </c>
      <c r="M67" s="48">
        <v>43173</v>
      </c>
      <c r="N67" s="47">
        <f t="shared" si="27"/>
        <v>120317.26</v>
      </c>
      <c r="O67" s="48">
        <v>7633</v>
      </c>
      <c r="P67" s="49">
        <v>10599</v>
      </c>
      <c r="Q67" s="47">
        <f t="shared" si="28"/>
        <v>18232</v>
      </c>
    </row>
    <row r="68" spans="1:18" s="156" customFormat="1" ht="10.199999999999999" x14ac:dyDescent="0.2">
      <c r="A68" s="88" t="s">
        <v>51</v>
      </c>
      <c r="B68" s="89"/>
      <c r="C68" s="89"/>
      <c r="D68" s="90">
        <v>1</v>
      </c>
      <c r="E68" s="91">
        <f>201919.8+16743.7</f>
        <v>218663.5</v>
      </c>
      <c r="F68" s="91">
        <v>2392</v>
      </c>
      <c r="G68" s="91">
        <f>7630.9+632.8</f>
        <v>8263.6999999999989</v>
      </c>
      <c r="H68" s="92">
        <f>+E68+F68+G68</f>
        <v>229319.2</v>
      </c>
      <c r="I68" s="93"/>
      <c r="J68" s="94">
        <v>1805</v>
      </c>
      <c r="K68" s="95">
        <f t="shared" si="30"/>
        <v>231124.2</v>
      </c>
      <c r="L68" s="96">
        <f>138056+25067+21595+500+501+19345.5</f>
        <v>205064.5</v>
      </c>
      <c r="M68" s="91">
        <v>0</v>
      </c>
      <c r="N68" s="92">
        <f t="shared" ref="N68:N72" si="31">SUM(L68:M68)</f>
        <v>205064.5</v>
      </c>
      <c r="O68" s="91">
        <v>0</v>
      </c>
      <c r="P68" s="97">
        <v>0</v>
      </c>
      <c r="Q68" s="92">
        <f t="shared" si="28"/>
        <v>0</v>
      </c>
    </row>
    <row r="69" spans="1:18" s="156" customFormat="1" ht="10.199999999999999" x14ac:dyDescent="0.2">
      <c r="A69" s="84" t="s">
        <v>33</v>
      </c>
      <c r="B69" s="52">
        <f>1+8</f>
        <v>9</v>
      </c>
      <c r="C69" s="52">
        <v>2</v>
      </c>
      <c r="D69" s="53">
        <v>2</v>
      </c>
      <c r="E69" s="54">
        <v>58210.7</v>
      </c>
      <c r="F69" s="54"/>
      <c r="G69" s="54">
        <v>2199.9</v>
      </c>
      <c r="H69" s="82">
        <f t="shared" si="29"/>
        <v>60410.6</v>
      </c>
      <c r="I69" s="55"/>
      <c r="J69" s="56">
        <v>11810</v>
      </c>
      <c r="K69" s="43">
        <f t="shared" si="30"/>
        <v>72220.600000000006</v>
      </c>
      <c r="L69" s="83">
        <f>11604+208142+1016.24</f>
        <v>220762.23999999999</v>
      </c>
      <c r="M69" s="48">
        <v>-15626</v>
      </c>
      <c r="N69" s="47">
        <f t="shared" si="31"/>
        <v>205136.24</v>
      </c>
      <c r="O69" s="48">
        <v>-62292</v>
      </c>
      <c r="P69" s="49">
        <v>231223</v>
      </c>
      <c r="Q69" s="47">
        <f t="shared" si="28"/>
        <v>168931</v>
      </c>
    </row>
    <row r="70" spans="1:18" s="156" customFormat="1" ht="10.199999999999999" x14ac:dyDescent="0.2">
      <c r="A70" s="84" t="s">
        <v>77</v>
      </c>
      <c r="B70" s="52"/>
      <c r="C70" s="52"/>
      <c r="D70" s="53"/>
      <c r="E70" s="54">
        <v>0</v>
      </c>
      <c r="F70" s="54"/>
      <c r="G70" s="54"/>
      <c r="H70" s="82">
        <f t="shared" si="29"/>
        <v>0</v>
      </c>
      <c r="I70" s="55"/>
      <c r="J70" s="56">
        <v>54543</v>
      </c>
      <c r="K70" s="43">
        <f t="shared" si="30"/>
        <v>54543</v>
      </c>
      <c r="L70" s="83">
        <v>0</v>
      </c>
      <c r="M70" s="48">
        <v>0</v>
      </c>
      <c r="N70" s="47">
        <f t="shared" si="31"/>
        <v>0</v>
      </c>
      <c r="O70" s="48">
        <v>0</v>
      </c>
      <c r="P70" s="49">
        <v>0</v>
      </c>
      <c r="Q70" s="47">
        <f t="shared" si="28"/>
        <v>0</v>
      </c>
    </row>
    <row r="71" spans="1:18" s="156" customFormat="1" ht="10.199999999999999" x14ac:dyDescent="0.2">
      <c r="A71" s="84" t="s">
        <v>34</v>
      </c>
      <c r="B71" s="52"/>
      <c r="C71" s="52"/>
      <c r="D71" s="53"/>
      <c r="E71" s="54">
        <v>0</v>
      </c>
      <c r="F71" s="54"/>
      <c r="G71" s="54"/>
      <c r="H71" s="82">
        <f t="shared" si="29"/>
        <v>0</v>
      </c>
      <c r="I71" s="55"/>
      <c r="J71" s="56">
        <v>0</v>
      </c>
      <c r="K71" s="43">
        <f t="shared" si="30"/>
        <v>0</v>
      </c>
      <c r="L71" s="83">
        <v>3000</v>
      </c>
      <c r="M71" s="48">
        <v>1679</v>
      </c>
      <c r="N71" s="47">
        <f t="shared" si="31"/>
        <v>4679</v>
      </c>
      <c r="O71" s="48">
        <v>0</v>
      </c>
      <c r="P71" s="49">
        <v>3068</v>
      </c>
      <c r="Q71" s="47">
        <f t="shared" si="28"/>
        <v>3068</v>
      </c>
    </row>
    <row r="72" spans="1:18" s="156" customFormat="1" ht="10.199999999999999" x14ac:dyDescent="0.2">
      <c r="A72" s="51" t="s">
        <v>5</v>
      </c>
      <c r="B72" s="52"/>
      <c r="C72" s="52"/>
      <c r="D72" s="53">
        <f>1+10</f>
        <v>11</v>
      </c>
      <c r="E72" s="54">
        <v>0</v>
      </c>
      <c r="F72" s="54"/>
      <c r="G72" s="54"/>
      <c r="H72" s="82">
        <f t="shared" si="29"/>
        <v>0</v>
      </c>
      <c r="I72" s="55">
        <v>102778</v>
      </c>
      <c r="J72" s="56">
        <v>20000</v>
      </c>
      <c r="K72" s="43">
        <f>SUM(H72:J72)</f>
        <v>122778</v>
      </c>
      <c r="L72" s="83">
        <f>12784+30000+5000+30000+58800+9400+14400+19283+4782+95474.43</f>
        <v>279923.43</v>
      </c>
      <c r="M72" s="48">
        <v>636734</v>
      </c>
      <c r="N72" s="47">
        <f t="shared" si="31"/>
        <v>916657.42999999993</v>
      </c>
      <c r="O72" s="48">
        <v>0</v>
      </c>
      <c r="P72" s="49">
        <v>297056</v>
      </c>
      <c r="Q72" s="47">
        <f t="shared" si="28"/>
        <v>297056</v>
      </c>
    </row>
    <row r="73" spans="1:18" s="50" customFormat="1" ht="14.1" customHeight="1" thickBot="1" x14ac:dyDescent="0.25">
      <c r="A73" s="100" t="s">
        <v>47</v>
      </c>
      <c r="B73" s="101">
        <f t="shared" ref="B73:J73" si="32">SUM(B60:B72)</f>
        <v>108.83</v>
      </c>
      <c r="C73" s="101">
        <f t="shared" si="32"/>
        <v>4</v>
      </c>
      <c r="D73" s="101">
        <f t="shared" si="32"/>
        <v>24</v>
      </c>
      <c r="E73" s="102">
        <f t="shared" si="32"/>
        <v>1022764</v>
      </c>
      <c r="F73" s="102">
        <f t="shared" si="32"/>
        <v>2392</v>
      </c>
      <c r="G73" s="102">
        <f t="shared" si="32"/>
        <v>38652.1</v>
      </c>
      <c r="H73" s="103">
        <f t="shared" si="32"/>
        <v>1063808.1000000001</v>
      </c>
      <c r="I73" s="104">
        <f t="shared" si="32"/>
        <v>102778</v>
      </c>
      <c r="J73" s="105">
        <f t="shared" si="32"/>
        <v>188805</v>
      </c>
      <c r="K73" s="103">
        <f>SUM(H73:J73)</f>
        <v>1355391.1</v>
      </c>
      <c r="L73" s="106">
        <f t="shared" ref="L73:Q73" si="33">SUM(L60:L72)</f>
        <v>1465069.8499999999</v>
      </c>
      <c r="M73" s="107">
        <f t="shared" si="33"/>
        <v>1118664</v>
      </c>
      <c r="N73" s="103">
        <f t="shared" si="33"/>
        <v>2583733.85</v>
      </c>
      <c r="O73" s="106">
        <f t="shared" si="33"/>
        <v>209969</v>
      </c>
      <c r="P73" s="107">
        <f t="shared" si="33"/>
        <v>684967</v>
      </c>
      <c r="Q73" s="103">
        <f t="shared" si="33"/>
        <v>894936</v>
      </c>
    </row>
    <row r="74" spans="1:18" s="38" customFormat="1" ht="30" customHeight="1" thickBot="1" x14ac:dyDescent="0.25">
      <c r="A74" s="135" t="s">
        <v>68</v>
      </c>
      <c r="B74" s="134">
        <f t="shared" ref="B74:Q74" si="34">B15+B23+B31+B44+B58+B73</f>
        <v>397.73</v>
      </c>
      <c r="C74" s="121">
        <f t="shared" si="34"/>
        <v>38.33</v>
      </c>
      <c r="D74" s="121">
        <f t="shared" si="34"/>
        <v>318.7</v>
      </c>
      <c r="E74" s="122">
        <f t="shared" si="34"/>
        <v>11080606</v>
      </c>
      <c r="F74" s="122">
        <f t="shared" si="34"/>
        <v>537419</v>
      </c>
      <c r="G74" s="123">
        <f t="shared" si="34"/>
        <v>604042.1</v>
      </c>
      <c r="H74" s="124">
        <f t="shared" si="34"/>
        <v>12222067.1</v>
      </c>
      <c r="I74" s="125">
        <f t="shared" si="34"/>
        <v>402378</v>
      </c>
      <c r="J74" s="126">
        <f t="shared" si="34"/>
        <v>4963637.5</v>
      </c>
      <c r="K74" s="127">
        <f t="shared" si="34"/>
        <v>17588082.600000001</v>
      </c>
      <c r="L74" s="128">
        <f t="shared" si="34"/>
        <v>6079626.0099999998</v>
      </c>
      <c r="M74" s="129">
        <f t="shared" si="34"/>
        <v>4402392.4000000004</v>
      </c>
      <c r="N74" s="130">
        <f t="shared" si="34"/>
        <v>10482018.41</v>
      </c>
      <c r="O74" s="131">
        <f t="shared" si="34"/>
        <v>5093287</v>
      </c>
      <c r="P74" s="132">
        <f t="shared" si="34"/>
        <v>1808067.25</v>
      </c>
      <c r="Q74" s="133">
        <f t="shared" si="34"/>
        <v>6901354.25</v>
      </c>
    </row>
    <row r="75" spans="1:18" s="38" customFormat="1" ht="10.199999999999999" x14ac:dyDescent="0.2">
      <c r="A75" s="168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</row>
    <row r="76" spans="1:18" x14ac:dyDescent="0.3">
      <c r="A76" s="139" t="s">
        <v>83</v>
      </c>
      <c r="B76" s="158" t="s">
        <v>93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1"/>
      <c r="N76" s="141"/>
      <c r="O76" s="141"/>
      <c r="P76" s="141"/>
      <c r="Q76" s="141"/>
    </row>
    <row r="77" spans="1:18" x14ac:dyDescent="0.3">
      <c r="A77" s="142"/>
      <c r="B77" s="15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1"/>
      <c r="N77" s="141"/>
      <c r="O77" s="141"/>
      <c r="P77" s="141"/>
      <c r="Q77" s="141"/>
    </row>
    <row r="78" spans="1:18" x14ac:dyDescent="0.3">
      <c r="A78" s="139" t="s">
        <v>78</v>
      </c>
      <c r="B78" s="159" t="s">
        <v>87</v>
      </c>
      <c r="C78" s="150"/>
      <c r="D78" s="140"/>
      <c r="E78" s="140"/>
      <c r="F78" s="140"/>
      <c r="G78" s="140"/>
      <c r="H78" s="136"/>
      <c r="I78" s="136"/>
      <c r="J78" s="136"/>
      <c r="K78" s="136"/>
      <c r="L78" s="136"/>
      <c r="M78" s="136"/>
      <c r="N78" s="138"/>
      <c r="O78" s="138"/>
      <c r="P78" s="138"/>
      <c r="Q78" s="138"/>
      <c r="R78" s="138"/>
    </row>
    <row r="79" spans="1:18" x14ac:dyDescent="0.3">
      <c r="A79" s="142"/>
      <c r="B79" s="159" t="s">
        <v>88</v>
      </c>
      <c r="C79" s="150"/>
      <c r="D79" s="140"/>
      <c r="E79" s="140"/>
      <c r="F79" s="140"/>
      <c r="G79" s="140"/>
      <c r="H79" s="136"/>
      <c r="I79" s="136"/>
      <c r="J79" s="136"/>
      <c r="K79" s="136"/>
      <c r="L79" s="136"/>
      <c r="M79" s="136"/>
      <c r="N79" s="138"/>
      <c r="O79" s="138"/>
      <c r="P79" s="138"/>
      <c r="Q79" s="138"/>
      <c r="R79" s="138"/>
    </row>
    <row r="80" spans="1:18" s="138" customFormat="1" x14ac:dyDescent="0.3">
      <c r="A80" s="142"/>
      <c r="B80" s="160" t="s">
        <v>89</v>
      </c>
      <c r="C80" s="151"/>
      <c r="D80" s="143"/>
      <c r="E80" s="143"/>
      <c r="F80" s="143"/>
      <c r="G80" s="143"/>
      <c r="H80" s="137"/>
      <c r="I80" s="137"/>
      <c r="J80" s="137"/>
      <c r="K80" s="137"/>
      <c r="L80" s="137"/>
      <c r="M80" s="137"/>
    </row>
    <row r="81" spans="1:17" s="138" customFormat="1" x14ac:dyDescent="0.3">
      <c r="A81" s="142"/>
      <c r="B81" s="159" t="s">
        <v>90</v>
      </c>
      <c r="C81" s="140"/>
      <c r="D81" s="140"/>
      <c r="E81" s="140"/>
      <c r="F81" s="140"/>
      <c r="G81" s="140"/>
      <c r="H81" s="136"/>
      <c r="I81" s="136"/>
      <c r="J81" s="136"/>
      <c r="K81" s="136"/>
      <c r="L81" s="136"/>
      <c r="M81" s="136"/>
    </row>
    <row r="82" spans="1:17" x14ac:dyDescent="0.3">
      <c r="A82" s="142"/>
      <c r="B82" s="160" t="s">
        <v>91</v>
      </c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1"/>
      <c r="N82" s="141"/>
      <c r="O82" s="141"/>
      <c r="P82" s="141"/>
      <c r="Q82" s="141"/>
    </row>
    <row r="83" spans="1:17" s="152" customFormat="1" x14ac:dyDescent="0.3">
      <c r="A83" s="142"/>
      <c r="B83" s="160" t="s">
        <v>92</v>
      </c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1"/>
      <c r="N83" s="141"/>
      <c r="O83" s="141"/>
      <c r="P83" s="141"/>
      <c r="Q83" s="141"/>
    </row>
    <row r="84" spans="1:17" s="155" customFormat="1" x14ac:dyDescent="0.3">
      <c r="A84" s="142"/>
      <c r="B84" s="160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1"/>
      <c r="N84" s="141"/>
      <c r="O84" s="141"/>
      <c r="P84" s="141"/>
      <c r="Q84" s="141"/>
    </row>
    <row r="85" spans="1:17" x14ac:dyDescent="0.3">
      <c r="A85" s="139" t="s">
        <v>79</v>
      </c>
      <c r="B85" s="140" t="s">
        <v>96</v>
      </c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1"/>
      <c r="O85" s="141"/>
      <c r="P85" s="141"/>
      <c r="Q85" s="141"/>
    </row>
    <row r="86" spans="1:17" x14ac:dyDescent="0.3">
      <c r="A86" s="7"/>
      <c r="B86" s="140" t="s">
        <v>101</v>
      </c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1"/>
      <c r="N86" s="141"/>
      <c r="O86" s="141"/>
      <c r="P86" s="141"/>
      <c r="Q86" s="141"/>
    </row>
    <row r="87" spans="1:17" s="138" customFormat="1" x14ac:dyDescent="0.3">
      <c r="A87" s="7"/>
      <c r="B87" s="140" t="s">
        <v>102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1"/>
      <c r="N87" s="141"/>
      <c r="O87" s="141"/>
      <c r="P87" s="141"/>
      <c r="Q87" s="141"/>
    </row>
    <row r="88" spans="1:17" x14ac:dyDescent="0.3">
      <c r="B88" s="140" t="s">
        <v>97</v>
      </c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1"/>
      <c r="O88" s="141"/>
      <c r="P88" s="141"/>
      <c r="Q88" s="141"/>
    </row>
    <row r="89" spans="1:17" s="155" customFormat="1" x14ac:dyDescent="0.3">
      <c r="B89" s="140" t="s">
        <v>98</v>
      </c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1"/>
      <c r="O89" s="141"/>
      <c r="P89" s="141"/>
      <c r="Q89" s="141"/>
    </row>
    <row r="90" spans="1:17" x14ac:dyDescent="0.3">
      <c r="A90" s="139" t="s">
        <v>80</v>
      </c>
      <c r="B90" s="15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1"/>
      <c r="O90" s="141"/>
      <c r="P90" s="141"/>
      <c r="Q90" s="141"/>
    </row>
    <row r="91" spans="1:17" s="155" customFormat="1" x14ac:dyDescent="0.3">
      <c r="A91" s="139"/>
      <c r="B91" s="15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1"/>
      <c r="O91" s="141"/>
      <c r="P91" s="141"/>
      <c r="Q91" s="141"/>
    </row>
    <row r="92" spans="1:17" x14ac:dyDescent="0.3">
      <c r="A92" s="139" t="s">
        <v>81</v>
      </c>
      <c r="B92" s="144" t="s">
        <v>94</v>
      </c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36"/>
      <c r="O92" s="138"/>
      <c r="P92" s="138"/>
      <c r="Q92" s="138"/>
    </row>
    <row r="93" spans="1:17" x14ac:dyDescent="0.3">
      <c r="A93" s="139"/>
      <c r="B93" s="144" t="s">
        <v>95</v>
      </c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36"/>
      <c r="O93" s="138"/>
      <c r="P93" s="138"/>
      <c r="Q93" s="138"/>
    </row>
    <row r="94" spans="1:17" x14ac:dyDescent="0.3">
      <c r="A94" s="139"/>
      <c r="B94" s="144" t="s">
        <v>99</v>
      </c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36"/>
      <c r="O94" s="138"/>
      <c r="P94" s="138"/>
      <c r="Q94" s="138"/>
    </row>
    <row r="95" spans="1:17" x14ac:dyDescent="0.3">
      <c r="A95" s="157"/>
      <c r="B95" s="144" t="s">
        <v>100</v>
      </c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</row>
    <row r="96" spans="1:17" x14ac:dyDescent="0.3">
      <c r="A96" s="169"/>
      <c r="B96" s="169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</row>
    <row r="97" spans="1:13" x14ac:dyDescent="0.3">
      <c r="A97" s="169"/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</row>
    <row r="98" spans="1:13" x14ac:dyDescent="0.3">
      <c r="A98" s="169"/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</row>
    <row r="99" spans="1:13" x14ac:dyDescent="0.3">
      <c r="A99" s="169"/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</row>
    <row r="100" spans="1:13" x14ac:dyDescent="0.3">
      <c r="A100" s="169"/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</row>
    <row r="101" spans="1:13" x14ac:dyDescent="0.3">
      <c r="A101" s="169"/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</row>
    <row r="102" spans="1:13" x14ac:dyDescent="0.3">
      <c r="A102" s="169"/>
      <c r="B102" s="169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</row>
    <row r="103" spans="1:13" x14ac:dyDescent="0.3">
      <c r="A103" s="169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</row>
  </sheetData>
  <mergeCells count="12">
    <mergeCell ref="B3:K3"/>
    <mergeCell ref="L3:N3"/>
    <mergeCell ref="O3:Q3"/>
    <mergeCell ref="A75:M75"/>
    <mergeCell ref="A103:M103"/>
    <mergeCell ref="A96:M96"/>
    <mergeCell ref="A97:M97"/>
    <mergeCell ref="A98:M98"/>
    <mergeCell ref="A99:M99"/>
    <mergeCell ref="A100:M100"/>
    <mergeCell ref="A101:M101"/>
    <mergeCell ref="A102:M102"/>
  </mergeCells>
  <printOptions horizontalCentered="1" gridLines="1"/>
  <pageMargins left="0.2" right="0" top="0.25" bottom="0.25" header="0.3" footer="0.05"/>
  <pageSetup scale="70" orientation="landscape" r:id="rId1"/>
  <headerFooter>
    <oddFooter>&amp;R&amp;"-,Italic"&amp;8&amp;K03+000&amp;F/&amp;D/jenna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EPRC</dc:creator>
  <dc:description>like alternative template 1b, but with one-time and baseline differentiated, plus a column differentiating perm. TT from perm. lecturers</dc:description>
  <cp:lastModifiedBy>Antonio Guijarro</cp:lastModifiedBy>
  <cp:lastPrinted>2019-04-30T21:15:49Z</cp:lastPrinted>
  <dcterms:created xsi:type="dcterms:W3CDTF">2013-07-18T23:38:31Z</dcterms:created>
  <dcterms:modified xsi:type="dcterms:W3CDTF">2019-07-01T17:35:50Z</dcterms:modified>
</cp:coreProperties>
</file>